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85" windowWidth="15315" windowHeight="4035" activeTab="0"/>
  </bookViews>
  <sheets>
    <sheet name="Анализ стоимости" sheetId="1" r:id="rId1"/>
    <sheet name="ЦЗ неск.объектов в лоте" sheetId="2" r:id="rId2"/>
    <sheet name="Расчет инфляции" sheetId="3" state="hidden" r:id="rId3"/>
  </sheets>
  <externalReferences>
    <externalReference r:id="rId6"/>
    <externalReference r:id="rId7"/>
  </externalReferences>
  <definedNames>
    <definedName name="_xlnm._FilterDatabase" localSheetId="0" hidden="1">'Анализ стоимости'!$A$3:$DF$36</definedName>
    <definedName name="_xlnm.Print_Titles" localSheetId="0">'Анализ стоимости'!$2:$2</definedName>
    <definedName name="Инфляция">#REF!</definedName>
    <definedName name="Компенсации">'[1]Ресурсы'!$A$4:$N$65536</definedName>
    <definedName name="_xlnm.Print_Area" localSheetId="0">'Анализ стоимости'!$H$2:$BV$42</definedName>
    <definedName name="_xlnm.Print_Area" localSheetId="1">'ЦЗ неск.объектов в лоте'!$A$1:$C$1302</definedName>
    <definedName name="Объекты">'[1]Объекты'!$A$3:$K$65536</definedName>
  </definedNames>
  <calcPr fullCalcOnLoad="1"/>
</workbook>
</file>

<file path=xl/comments1.xml><?xml version="1.0" encoding="utf-8"?>
<comments xmlns="http://schemas.openxmlformats.org/spreadsheetml/2006/main">
  <authors>
    <author>a_beloshkura</author>
  </authors>
  <commentList>
    <comment ref="I34" authorId="0">
      <text>
        <r>
          <rPr>
            <b/>
            <sz val="10"/>
            <color indexed="10"/>
            <rFont val="Tahoma"/>
            <family val="2"/>
          </rPr>
          <t>Наименование лота</t>
        </r>
      </text>
    </comment>
    <comment ref="I33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Наименование объекта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<sst xmlns="http://schemas.openxmlformats.org/spreadsheetml/2006/main" count="1379" uniqueCount="152">
  <si>
    <t>Стоимость эксплуатации машин и механизмов, руб.</t>
  </si>
  <si>
    <t>Накладные расходы, руб.</t>
  </si>
  <si>
    <t>Перевозка рабочих, руб.</t>
  </si>
  <si>
    <t>Переходящий</t>
  </si>
  <si>
    <t>Итого</t>
  </si>
  <si>
    <t>вид работ</t>
  </si>
  <si>
    <t>ВЗиС, %</t>
  </si>
  <si>
    <t>Пер.раб., %</t>
  </si>
  <si>
    <t>Страхование, %</t>
  </si>
  <si>
    <t>Восстановление оси (прочие по гл.1-7), руб.</t>
  </si>
  <si>
    <t>Итого расходы и затраты, руб.</t>
  </si>
  <si>
    <r>
      <t xml:space="preserve">Итого </t>
    </r>
    <r>
      <rPr>
        <b/>
        <sz val="8"/>
        <color indexed="10"/>
        <rFont val="Times New Roman"/>
        <family val="1"/>
      </rPr>
      <t>(строительные)</t>
    </r>
    <r>
      <rPr>
        <b/>
        <sz val="8"/>
        <color indexed="8"/>
        <rFont val="Times New Roman"/>
        <family val="1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</si>
  <si>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</rPr>
      <t>(монтажные)</t>
    </r>
    <r>
      <rPr>
        <b/>
        <sz val="8"/>
        <color indexed="8"/>
        <rFont val="Times New Roman"/>
        <family val="1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</si>
  <si>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</rPr>
      <t>(оборудование)</t>
    </r>
    <r>
      <rPr>
        <b/>
        <sz val="8"/>
        <color indexed="8"/>
        <rFont val="Times New Roman"/>
        <family val="1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</si>
  <si>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</rPr>
      <t>(прочие)</t>
    </r>
    <r>
      <rPr>
        <b/>
        <sz val="8"/>
        <color indexed="8"/>
        <rFont val="Times New Roman"/>
        <family val="1"/>
      </rPr>
      <t>, руб.</t>
    </r>
  </si>
  <si>
    <t>Итого по гл.1-7, руб.</t>
  </si>
  <si>
    <r>
      <t xml:space="preserve">НДС </t>
    </r>
    <r>
      <rPr>
        <b/>
        <sz val="8"/>
        <color indexed="10"/>
        <rFont val="Times New Roman"/>
        <family val="1"/>
      </rPr>
      <t>(строительные)</t>
    </r>
    <r>
      <rPr>
        <b/>
        <sz val="8"/>
        <color indexed="8"/>
        <rFont val="Times New Roman"/>
        <family val="1"/>
      </rPr>
      <t>, руб.</t>
    </r>
  </si>
  <si>
    <t>Щебень фр. 5-20 мм М-600, м3</t>
  </si>
  <si>
    <t>Строительные работы, руб</t>
  </si>
  <si>
    <t>Монтажные работы, руб</t>
  </si>
  <si>
    <r>
      <t>ПНР</t>
    </r>
    <r>
      <rPr>
        <b/>
        <sz val="8"/>
        <color indexed="8"/>
        <rFont val="Times New Roman"/>
        <family val="1"/>
      </rPr>
      <t xml:space="preserve"> (прочие в главе 9), руб.</t>
    </r>
  </si>
  <si>
    <t>ПГС по ресурсному, м3</t>
  </si>
  <si>
    <t>м/з тип Б, т</t>
  </si>
  <si>
    <t>м/з тип Г, т</t>
  </si>
  <si>
    <t>м/з тип В, т</t>
  </si>
  <si>
    <t>к/з, т</t>
  </si>
  <si>
    <t>ч/щ, т</t>
  </si>
  <si>
    <t>Оборудование, руб.</t>
  </si>
  <si>
    <t>№ п/п</t>
  </si>
  <si>
    <t>Расчет начальной (максимальной) цены контракта (лота)</t>
  </si>
  <si>
    <t>Битум модифицированный, т</t>
  </si>
  <si>
    <t>Окончание</t>
  </si>
  <si>
    <t>Рост стоимости, руб.</t>
  </si>
  <si>
    <t>Оборудование</t>
  </si>
  <si>
    <t>Щебень фр. 20-40 мм М-600, м3</t>
  </si>
  <si>
    <t>Приложение к лоту №</t>
  </si>
  <si>
    <t xml:space="preserve"> </t>
  </si>
  <si>
    <t>1</t>
  </si>
  <si>
    <t>Наименование</t>
  </si>
  <si>
    <t>Начало</t>
  </si>
  <si>
    <t>Разрядность</t>
  </si>
  <si>
    <t>Дата составления расчета</t>
  </si>
  <si>
    <t>Фонд оплаты труда в составе прямых затрат</t>
  </si>
  <si>
    <t>Щебень фр. 40-70 мм, м3</t>
  </si>
  <si>
    <t>12</t>
  </si>
  <si>
    <t>ВЗиС (монтажные), руб.</t>
  </si>
  <si>
    <t>Строительные в главе 9, руб.</t>
  </si>
  <si>
    <r>
      <t xml:space="preserve">Непредвиденные </t>
    </r>
    <r>
      <rPr>
        <b/>
        <sz val="8"/>
        <color indexed="10"/>
        <rFont val="Times New Roman"/>
        <family val="1"/>
      </rPr>
      <t>(строительные)</t>
    </r>
    <r>
      <rPr>
        <b/>
        <sz val="8"/>
        <color indexed="8"/>
        <rFont val="Times New Roman"/>
        <family val="1"/>
      </rPr>
      <t>, руб.</t>
    </r>
  </si>
  <si>
    <r>
      <t xml:space="preserve">Непредвиденные </t>
    </r>
    <r>
      <rPr>
        <b/>
        <sz val="8"/>
        <color indexed="10"/>
        <rFont val="Times New Roman"/>
        <family val="1"/>
      </rPr>
      <t>(монтажные)</t>
    </r>
    <r>
      <rPr>
        <b/>
        <sz val="8"/>
        <color indexed="8"/>
        <rFont val="Times New Roman"/>
        <family val="1"/>
      </rPr>
      <t>, руб.</t>
    </r>
  </si>
  <si>
    <r>
      <t xml:space="preserve">Инфляция </t>
    </r>
    <r>
      <rPr>
        <b/>
        <sz val="8"/>
        <color indexed="10"/>
        <rFont val="Times New Roman"/>
        <family val="1"/>
      </rPr>
      <t>(оборудование)</t>
    </r>
    <r>
      <rPr>
        <b/>
        <sz val="8"/>
        <color indexed="8"/>
        <rFont val="Times New Roman"/>
        <family val="1"/>
      </rPr>
      <t>, руб.</t>
    </r>
  </si>
  <si>
    <r>
      <t xml:space="preserve">Инфляция </t>
    </r>
    <r>
      <rPr>
        <b/>
        <sz val="8"/>
        <color indexed="10"/>
        <rFont val="Times New Roman"/>
        <family val="1"/>
      </rPr>
      <t>(прочие)</t>
    </r>
    <r>
      <rPr>
        <b/>
        <sz val="8"/>
        <color indexed="8"/>
        <rFont val="Times New Roman"/>
        <family val="1"/>
      </rPr>
      <t>, руб.</t>
    </r>
  </si>
  <si>
    <t>Прочие затраты</t>
  </si>
  <si>
    <t>Щебень фр. 10-15 мм по ресурсному, м3</t>
  </si>
  <si>
    <t>Раздел 1. Стоимость работ и условия финансирования</t>
  </si>
  <si>
    <t>I.Сметная стоимость в текущих ценах</t>
  </si>
  <si>
    <t>Щебень фр. 10-20 мм М-600, м3</t>
  </si>
  <si>
    <t>Битум вязкий на розлив, т</t>
  </si>
  <si>
    <t>Дата передачи в отдел договоров</t>
  </si>
  <si>
    <t>Наименование затрат</t>
  </si>
  <si>
    <t>II. Расчет прогнозного роста стоимости с учетом срока финансирования</t>
  </si>
  <si>
    <t>Значения</t>
  </si>
  <si>
    <t>Песок по ресурсному, м3</t>
  </si>
  <si>
    <t>Щебень фр. 0-10 мм (отсев) по ресурсному, м3</t>
  </si>
  <si>
    <t>Строительно-монтажные работы, руб.</t>
  </si>
  <si>
    <t>Фонд оплаты труда, руб.</t>
  </si>
  <si>
    <t>Стоимость эксплуатации машин и механизмов</t>
  </si>
  <si>
    <t>Накладные  расходы</t>
  </si>
  <si>
    <r>
      <t xml:space="preserve">Инфляция </t>
    </r>
    <r>
      <rPr>
        <b/>
        <sz val="8"/>
        <color indexed="10"/>
        <rFont val="Times New Roman"/>
        <family val="1"/>
      </rPr>
      <t>(монтажные)</t>
    </r>
    <r>
      <rPr>
        <b/>
        <sz val="8"/>
        <color indexed="8"/>
        <rFont val="Times New Roman"/>
        <family val="1"/>
      </rPr>
      <t>, руб.</t>
    </r>
  </si>
  <si>
    <r>
      <t xml:space="preserve">Инфляция </t>
    </r>
    <r>
      <rPr>
        <b/>
        <sz val="8"/>
        <color indexed="10"/>
        <rFont val="Times New Roman"/>
        <family val="1"/>
      </rPr>
      <t>(строительные)</t>
    </r>
    <r>
      <rPr>
        <b/>
        <sz val="8"/>
        <color indexed="8"/>
        <rFont val="Times New Roman"/>
        <family val="1"/>
      </rPr>
      <t>, руб.</t>
    </r>
  </si>
  <si>
    <t>ИТОГО без НДС:</t>
  </si>
  <si>
    <t>Всего с НДС, руб.:</t>
  </si>
  <si>
    <t>Щебень фр. 15-20 мм по ресурсному, м3</t>
  </si>
  <si>
    <t>Щебень фр. 5-20 мм по ресурсному, м3</t>
  </si>
  <si>
    <t>Начальная цена заказчика, руб.</t>
  </si>
  <si>
    <t>Район</t>
  </si>
  <si>
    <t>Стоимость материалов с учетом доставки до  места работ (франко-объект)</t>
  </si>
  <si>
    <t>Сметная прибыль</t>
  </si>
  <si>
    <t>Год</t>
  </si>
  <si>
    <t>Значение инфляции</t>
  </si>
  <si>
    <r>
      <t xml:space="preserve">НДС </t>
    </r>
    <r>
      <rPr>
        <b/>
        <sz val="8"/>
        <color indexed="10"/>
        <rFont val="Times New Roman"/>
        <family val="1"/>
      </rPr>
      <t>(монтажные)</t>
    </r>
    <r>
      <rPr>
        <b/>
        <sz val="8"/>
        <color indexed="8"/>
        <rFont val="Times New Roman"/>
        <family val="1"/>
      </rPr>
      <t>, руб.</t>
    </r>
  </si>
  <si>
    <r>
      <t xml:space="preserve">НДС </t>
    </r>
    <r>
      <rPr>
        <b/>
        <sz val="8"/>
        <color indexed="10"/>
        <rFont val="Times New Roman"/>
        <family val="1"/>
      </rPr>
      <t>(оборудование)</t>
    </r>
    <r>
      <rPr>
        <b/>
        <sz val="8"/>
        <color indexed="8"/>
        <rFont val="Times New Roman"/>
        <family val="1"/>
      </rPr>
      <t>, руб.</t>
    </r>
  </si>
  <si>
    <r>
      <t xml:space="preserve">НДС </t>
    </r>
    <r>
      <rPr>
        <b/>
        <sz val="8"/>
        <color indexed="10"/>
        <rFont val="Times New Roman"/>
        <family val="1"/>
      </rPr>
      <t>(прочие)</t>
    </r>
    <r>
      <rPr>
        <b/>
        <sz val="8"/>
        <color indexed="8"/>
        <rFont val="Times New Roman"/>
        <family val="1"/>
      </rPr>
      <t>, руб.</t>
    </r>
  </si>
  <si>
    <t>НДС 18%, руб.</t>
  </si>
  <si>
    <t>Щебень фр. 20-40 мм по ресурсному, м3</t>
  </si>
  <si>
    <t>Битум жидкий, т</t>
  </si>
  <si>
    <t>ВЗиС (строительные), руб.</t>
  </si>
  <si>
    <r>
      <t xml:space="preserve">Непредвиденные </t>
    </r>
    <r>
      <rPr>
        <b/>
        <sz val="8"/>
        <color indexed="10"/>
        <rFont val="Times New Roman"/>
        <family val="1"/>
      </rPr>
      <t>(оборудование)</t>
    </r>
    <r>
      <rPr>
        <b/>
        <sz val="8"/>
        <color indexed="8"/>
        <rFont val="Times New Roman"/>
        <family val="1"/>
      </rPr>
      <t>, руб.</t>
    </r>
  </si>
  <si>
    <t>Сметная прибыль, руб.</t>
  </si>
  <si>
    <t>Стоимость материалов с учетом доставки до места работ (франко-объект), руб.</t>
  </si>
  <si>
    <t>ЩМА "Тopcel", т</t>
  </si>
  <si>
    <t xml:space="preserve">Количество дней  </t>
  </si>
  <si>
    <t xml:space="preserve">Дата
</t>
  </si>
  <si>
    <t>Инфляция,%</t>
  </si>
  <si>
    <t>Страхование, руб.</t>
  </si>
  <si>
    <t>Непредвиденные расходы и затраты, руб.</t>
  </si>
  <si>
    <t>Щебень фр. 10-20 мм, м3</t>
  </si>
  <si>
    <r>
      <t xml:space="preserve">Непредвиденные </t>
    </r>
    <r>
      <rPr>
        <b/>
        <sz val="8"/>
        <color indexed="10"/>
        <rFont val="Times New Roman"/>
        <family val="1"/>
      </rPr>
      <t>(прочие)</t>
    </r>
    <r>
      <rPr>
        <b/>
        <sz val="8"/>
        <color indexed="8"/>
        <rFont val="Times New Roman"/>
        <family val="1"/>
      </rPr>
      <t>, руб.</t>
    </r>
  </si>
  <si>
    <t>Монтажные в главе 9, руб.</t>
  </si>
  <si>
    <r>
      <t xml:space="preserve">Значение которое надо подобрать в </t>
    </r>
    <r>
      <rPr>
        <b/>
        <sz val="8"/>
        <color indexed="10"/>
        <rFont val="Times New Roman"/>
        <family val="1"/>
      </rPr>
      <t>GK</t>
    </r>
    <r>
      <rPr>
        <b/>
        <sz val="8"/>
        <color indexed="8"/>
        <rFont val="Times New Roman"/>
        <family val="1"/>
      </rPr>
      <t xml:space="preserve"> при изменении в </t>
    </r>
    <r>
      <rPr>
        <b/>
        <sz val="8"/>
        <color indexed="10"/>
        <rFont val="Times New Roman"/>
        <family val="1"/>
      </rPr>
      <t>GE</t>
    </r>
  </si>
  <si>
    <t>достоверность</t>
  </si>
  <si>
    <t>Процент на 2010 г</t>
  </si>
  <si>
    <t>сумма на 2010 г</t>
  </si>
  <si>
    <t>подбираемое значение</t>
  </si>
  <si>
    <t>для переходящих</t>
  </si>
  <si>
    <t>Индекс-дефлятор Министерства экономического развития и торговли Российской Федерации, применяемый к сметной стоимости</t>
  </si>
  <si>
    <t>Наименование заказчика:</t>
  </si>
  <si>
    <r>
      <t xml:space="preserve">Утверждаю </t>
    </r>
    <r>
      <rPr>
        <b/>
        <u val="single"/>
        <sz val="8"/>
        <color indexed="10"/>
        <rFont val="Times New Roman"/>
        <family val="1"/>
      </rPr>
      <t>(должность)</t>
    </r>
    <r>
      <rPr>
        <b/>
        <sz val="8"/>
        <rFont val="Times New Roman"/>
        <family val="1"/>
      </rPr>
      <t>:</t>
    </r>
  </si>
  <si>
    <r>
      <t xml:space="preserve">Утверждаю </t>
    </r>
    <r>
      <rPr>
        <b/>
        <u val="single"/>
        <sz val="8"/>
        <color indexed="10"/>
        <rFont val="Times New Roman"/>
        <family val="1"/>
      </rPr>
      <t>(Ф.И.О.)</t>
    </r>
    <r>
      <rPr>
        <b/>
        <sz val="8"/>
        <rFont val="Times New Roman"/>
        <family val="1"/>
      </rPr>
      <t>:</t>
    </r>
  </si>
  <si>
    <r>
      <t xml:space="preserve">Наименование </t>
    </r>
    <r>
      <rPr>
        <b/>
        <u val="single"/>
        <sz val="8"/>
        <color indexed="10"/>
        <rFont val="Times New Roman"/>
        <family val="1"/>
      </rPr>
      <t>объекта</t>
    </r>
    <r>
      <rPr>
        <b/>
        <sz val="8"/>
        <color indexed="8"/>
        <rFont val="Times New Roman"/>
        <family val="1"/>
      </rPr>
      <t>, привязка</t>
    </r>
  </si>
  <si>
    <t>1.1.  Стоимость объемов работ и затрат, составляющих предмет муниципального контракта, с</t>
  </si>
  <si>
    <t>ЩМА "Vialux", т</t>
  </si>
  <si>
    <t>Срок финансирования 2012 года</t>
  </si>
  <si>
    <t>ИТОГО без НДС на 2012 год, руб.:</t>
  </si>
  <si>
    <t>Середина срока фин-я работ в 2013г</t>
  </si>
  <si>
    <t>Итого на 2012 г расходы и затраты, руб.</t>
  </si>
  <si>
    <t>Инфляция 2012 года, руб.</t>
  </si>
  <si>
    <t>НДС 2012 года, руб.</t>
  </si>
  <si>
    <t>Начало срока фин-я работ в 2012г (Месяц)</t>
  </si>
  <si>
    <t>Конец срока фин-я работ в 2012 г (Месяц)</t>
  </si>
  <si>
    <t>Середина срока фин-я работ в 2012 г</t>
  </si>
  <si>
    <t>Инфл. 2012 г, %</t>
  </si>
  <si>
    <t>Финансирование в 2012 году</t>
  </si>
  <si>
    <t>Расчет уровня инфляции на 2012 год</t>
  </si>
  <si>
    <t>Расчет уровня инфляции на 2013 год</t>
  </si>
  <si>
    <t>Начало срока фин-я работ в 2013 г (Месяц)</t>
  </si>
  <si>
    <t>Конец срока фин-я работ в 2013 г (Месяц)</t>
  </si>
  <si>
    <t>Инфл. 2013 г, %</t>
  </si>
  <si>
    <t>Финансирование в 2013 году</t>
  </si>
  <si>
    <t>Инфляция 2013 года, руб.</t>
  </si>
  <si>
    <t>НДС 2013 года, руб.</t>
  </si>
  <si>
    <t>Итого на 2012 г (строительные), руб.</t>
  </si>
  <si>
    <t>Итого на 2012 г (монтажные), руб.</t>
  </si>
  <si>
    <t>Итого на 2012 г (оборудование), руб.</t>
  </si>
  <si>
    <t>Итого на 2012 г (прочие), руб.</t>
  </si>
  <si>
    <t>Итого на 2012 г (восстановление оси), руб.</t>
  </si>
  <si>
    <t xml:space="preserve">Протяженность, км </t>
  </si>
  <si>
    <t>Срок финансирования 2013 года</t>
  </si>
  <si>
    <t>ИТОГО без НДС на 2013 год, руб.:</t>
  </si>
  <si>
    <t>Всего с НДС на 2013 год, руб.:</t>
  </si>
  <si>
    <t>ИТОГО без НДС и инфляции на 2012 год, руб.:</t>
  </si>
  <si>
    <t>Всего с НДС на 2012 год, руб:</t>
  </si>
  <si>
    <t>Стоимость  согласно сметной документации (руб.) в текущих ценах по состоянию на 01.08.2011 г.</t>
  </si>
  <si>
    <t>Кореновский</t>
  </si>
  <si>
    <t>Ремонт ул.Айвазяна от а/д ст-ца Платнировская-ст-ца Сергиевская-ст-ца Дядьковская до ул.Кирова в ст-це Сергиевской</t>
  </si>
  <si>
    <t>Ремонт ул.Береговой от ул.Роя до ул.Ленина в ст-це Сергиевской</t>
  </si>
  <si>
    <t>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t>
  </si>
  <si>
    <t>Администрация Сергиевского сельского поселения Кореновского района</t>
  </si>
  <si>
    <t>Глава Сергиевского сельского поселения Кореновского района</t>
  </si>
  <si>
    <t xml:space="preserve">С.А. Басеев </t>
  </si>
  <si>
    <t>8</t>
  </si>
  <si>
    <t>Ремонт пер.Тополиного от а/д ст-ца Платнировская-ст-ца Сергиевская-ст-ца Дядьковская до ул.Северной в х.Нижнем</t>
  </si>
  <si>
    <t>Ремонт ул.Н.Крупской от ПК 0+00 (ул.Ленина) до ПК 1+60 в ст-це Сергиевской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</si>
</sst>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0.000%"/>
    <numFmt numFmtId="175" formatCode="0.0"/>
    <numFmt numFmtId="176" formatCode="mmm/yyyy"/>
    <numFmt numFmtId="177" formatCode="#,##0.0"/>
    <numFmt numFmtId="178" formatCode="0.0000%"/>
    <numFmt numFmtId="179" formatCode="#,##0.000"/>
    <numFmt numFmtId="180" formatCode="#,##0_р_."/>
    <numFmt numFmtId="181" formatCode="0.00000%"/>
    <numFmt numFmtId="182" formatCode="0.000000%"/>
    <numFmt numFmtId="183" formatCode="0.0000000%"/>
    <numFmt numFmtId="184" formatCode="#,##0_ ;[Red]\-#,##0\ "/>
    <numFmt numFmtId="185" formatCode="_(* #,##0.0_);_(* \(#,##0.0\);_(* &quot;-&quot;??_);_(@_)"/>
    <numFmt numFmtId="186" formatCode="_(* #,##0_);_(* \(#,##0\);_(* &quot;-&quot;??_);_(@_)"/>
    <numFmt numFmtId="187" formatCode="#,##0;[Red]#,##0"/>
    <numFmt numFmtId="188" formatCode="d/m/yyyy"/>
    <numFmt numFmtId="189" formatCode="dd/mm/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#,##0.0000"/>
    <numFmt numFmtId="196" formatCode="yyyy/mm/dd"/>
    <numFmt numFmtId="197" formatCode="0.00000"/>
    <numFmt numFmtId="198" formatCode="[$-FC19]d\ mmmm\ yyyy\ &quot;г.&quot;"/>
    <numFmt numFmtId="199" formatCode="General;\-General;"/>
    <numFmt numFmtId="200" formatCode="[$€-2]\ ###,000_);[Red]\([$€-2]\ ###,0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mm/dd"/>
    <numFmt numFmtId="207" formatCode="yy/mm/dd"/>
    <numFmt numFmtId="208" formatCode="0.00000000000"/>
    <numFmt numFmtId="209" formatCode="0.000000000000"/>
    <numFmt numFmtId="210" formatCode="0.000000000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0.00000000000000"/>
    <numFmt numFmtId="218" formatCode="[Red]#,###"/>
    <numFmt numFmtId="219" formatCode="#/#"/>
    <numFmt numFmtId="220" formatCode="[Red]#/#"/>
    <numFmt numFmtId="221" formatCode="#,##0.00;\-#,##0.00;#,##0.00"/>
    <numFmt numFmtId="222" formatCode="[$-419]mmmm\ yyyy;@"/>
    <numFmt numFmtId="223" formatCode="[$-F419]yyyy\,\ mmmm;@"/>
    <numFmt numFmtId="224" formatCode="0.00000000%"/>
    <numFmt numFmtId="225" formatCode="#,##0.00&quot;р.&quot;"/>
  </numFmts>
  <fonts count="67">
    <font>
      <sz val="10"/>
      <color indexed="8"/>
      <name val="MS Sans Serif"/>
      <family val="0"/>
    </font>
    <font>
      <sz val="8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yr"/>
      <family val="0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6"/>
      <name val="Times New Roman"/>
      <family val="1"/>
    </font>
    <font>
      <b/>
      <sz val="4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sz val="4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4"/>
      <color indexed="9"/>
      <name val="Times New Roman"/>
      <family val="1"/>
    </font>
    <font>
      <sz val="8"/>
      <name val="Tahoma"/>
      <family val="0"/>
    </font>
    <font>
      <b/>
      <u val="single"/>
      <sz val="8"/>
      <color indexed="10"/>
      <name val="Times New Roman"/>
      <family val="1"/>
    </font>
    <font>
      <b/>
      <sz val="8"/>
      <name val="Tahoma"/>
      <family val="0"/>
    </font>
    <font>
      <b/>
      <sz val="10"/>
      <color indexed="10"/>
      <name val="Tahoma"/>
      <family val="2"/>
    </font>
    <font>
      <sz val="14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/>
      <top style="hair">
        <color indexed="23"/>
      </top>
      <bottom style="hair"/>
    </border>
    <border>
      <left style="hair"/>
      <right style="hair"/>
      <top style="hair">
        <color indexed="2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14" fontId="22" fillId="0" borderId="10" xfId="0" applyNumberFormat="1" applyFont="1" applyFill="1" applyBorder="1" applyAlignment="1" applyProtection="1">
      <alignment horizontal="left"/>
      <protection hidden="1"/>
    </xf>
    <xf numFmtId="14" fontId="22" fillId="0" borderId="0" xfId="0" applyNumberFormat="1" applyFont="1" applyFill="1" applyBorder="1" applyAlignment="1" applyProtection="1">
      <alignment horizontal="left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96" fontId="23" fillId="0" borderId="14" xfId="0" applyNumberFormat="1" applyFont="1" applyFill="1" applyBorder="1" applyAlignment="1" applyProtection="1">
      <alignment horizontal="left" vertical="center"/>
      <protection hidden="1"/>
    </xf>
    <xf numFmtId="196" fontId="22" fillId="0" borderId="14" xfId="0" applyNumberFormat="1" applyFont="1" applyFill="1" applyBorder="1" applyAlignment="1" applyProtection="1">
      <alignment horizontal="left" vertical="center"/>
      <protection hidden="1"/>
    </xf>
    <xf numFmtId="10" fontId="11" fillId="0" borderId="14" xfId="0" applyNumberFormat="1" applyFont="1" applyFill="1" applyBorder="1" applyAlignment="1" applyProtection="1">
      <alignment horizontal="right" vertical="center" wrapText="1"/>
      <protection hidden="1"/>
    </xf>
    <xf numFmtId="173" fontId="11" fillId="0" borderId="14" xfId="0" applyNumberFormat="1" applyFont="1" applyFill="1" applyBorder="1" applyAlignment="1" applyProtection="1">
      <alignment horizontal="right" vertical="center" wrapText="1"/>
      <protection hidden="1"/>
    </xf>
    <xf numFmtId="9" fontId="11" fillId="0" borderId="14" xfId="0" applyNumberFormat="1" applyFont="1" applyFill="1" applyBorder="1" applyAlignment="1" applyProtection="1">
      <alignment horizontal="right" vertical="center" wrapText="1"/>
      <protection hidden="1"/>
    </xf>
    <xf numFmtId="196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Border="1" applyAlignment="1" applyProtection="1">
      <alignment horizontal="left" vertical="center"/>
      <protection hidden="1"/>
    </xf>
    <xf numFmtId="19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4" fontId="11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hidden="1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3" fontId="11" fillId="35" borderId="16" xfId="0" applyNumberFormat="1" applyFont="1" applyFill="1" applyBorder="1" applyAlignment="1" applyProtection="1">
      <alignment horizontal="right" vertical="center"/>
      <protection locked="0"/>
    </xf>
    <xf numFmtId="4" fontId="11" fillId="35" borderId="16" xfId="0" applyNumberFormat="1" applyFont="1" applyFill="1" applyBorder="1" applyAlignment="1" applyProtection="1">
      <alignment horizontal="right" vertical="center"/>
      <protection locked="0"/>
    </xf>
    <xf numFmtId="10" fontId="13" fillId="0" borderId="15" xfId="60" applyNumberFormat="1" applyFont="1" applyFill="1" applyBorder="1" applyAlignment="1" applyProtection="1">
      <alignment/>
      <protection hidden="1"/>
    </xf>
    <xf numFmtId="4" fontId="11" fillId="0" borderId="16" xfId="0" applyNumberFormat="1" applyFont="1" applyFill="1" applyBorder="1" applyAlignment="1" applyProtection="1">
      <alignment horizontal="right" vertical="center"/>
      <protection hidden="1"/>
    </xf>
    <xf numFmtId="3" fontId="11" fillId="0" borderId="16" xfId="0" applyNumberFormat="1" applyFont="1" applyFill="1" applyBorder="1" applyAlignment="1" applyProtection="1">
      <alignment horizontal="right" vertical="center"/>
      <protection hidden="1"/>
    </xf>
    <xf numFmtId="3" fontId="11" fillId="0" borderId="0" xfId="0" applyNumberFormat="1" applyFont="1" applyFill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horizontal="right" vertical="center"/>
      <protection hidden="1"/>
    </xf>
    <xf numFmtId="9" fontId="11" fillId="0" borderId="15" xfId="0" applyNumberFormat="1" applyFont="1" applyFill="1" applyBorder="1" applyAlignment="1" applyProtection="1">
      <alignment/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Alignment="1" applyProtection="1">
      <alignment/>
      <protection hidden="1"/>
    </xf>
    <xf numFmtId="9" fontId="13" fillId="0" borderId="15" xfId="60" applyNumberFormat="1" applyFont="1" applyFill="1" applyBorder="1" applyAlignment="1" applyProtection="1">
      <alignment/>
      <protection hidden="1"/>
    </xf>
    <xf numFmtId="174" fontId="13" fillId="0" borderId="15" xfId="60" applyNumberFormat="1" applyFont="1" applyFill="1" applyBorder="1" applyAlignment="1" applyProtection="1">
      <alignment/>
      <protection hidden="1"/>
    </xf>
    <xf numFmtId="0" fontId="16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3" fontId="11" fillId="34" borderId="16" xfId="0" applyNumberFormat="1" applyFont="1" applyFill="1" applyBorder="1" applyAlignment="1" applyProtection="1">
      <alignment horizontal="right" vertical="center"/>
      <protection hidden="1"/>
    </xf>
    <xf numFmtId="3" fontId="17" fillId="0" borderId="16" xfId="0" applyNumberFormat="1" applyFont="1" applyFill="1" applyBorder="1" applyAlignment="1" applyProtection="1">
      <alignment horizontal="right" vertical="center"/>
      <protection hidden="1"/>
    </xf>
    <xf numFmtId="49" fontId="5" fillId="34" borderId="16" xfId="0" applyNumberFormat="1" applyFont="1" applyFill="1" applyBorder="1" applyAlignment="1" applyProtection="1">
      <alignment horizontal="right" vertical="center"/>
      <protection hidden="1"/>
    </xf>
    <xf numFmtId="14" fontId="5" fillId="0" borderId="16" xfId="0" applyNumberFormat="1" applyFont="1" applyFill="1" applyBorder="1" applyAlignment="1" applyProtection="1">
      <alignment horizontal="right" vertical="center"/>
      <protection hidden="1"/>
    </xf>
    <xf numFmtId="10" fontId="5" fillId="0" borderId="16" xfId="0" applyNumberFormat="1" applyFont="1" applyFill="1" applyBorder="1" applyAlignment="1" applyProtection="1">
      <alignment horizontal="right"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4" fontId="5" fillId="37" borderId="16" xfId="0" applyNumberFormat="1" applyFont="1" applyFill="1" applyBorder="1" applyAlignment="1" applyProtection="1">
      <alignment vertical="center"/>
      <protection hidden="1"/>
    </xf>
    <xf numFmtId="10" fontId="5" fillId="34" borderId="1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3" fontId="11" fillId="0" borderId="0" xfId="0" applyNumberFormat="1" applyFont="1" applyFill="1" applyBorder="1" applyAlignment="1" applyProtection="1">
      <alignment horizontal="right" vertical="center"/>
      <protection hidden="1"/>
    </xf>
    <xf numFmtId="4" fontId="11" fillId="0" borderId="0" xfId="0" applyNumberFormat="1" applyFont="1" applyFill="1" applyAlignment="1" applyProtection="1">
      <alignment vertical="center"/>
      <protection hidden="1"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right" vertical="center"/>
      <protection hidden="1"/>
    </xf>
    <xf numFmtId="10" fontId="5" fillId="0" borderId="0" xfId="0" applyNumberFormat="1" applyFont="1" applyFill="1" applyBorder="1" applyAlignment="1" applyProtection="1">
      <alignment horizontal="right"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181" fontId="11" fillId="0" borderId="0" xfId="6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" fontId="13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9" fontId="11" fillId="0" borderId="0" xfId="0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3" fontId="17" fillId="0" borderId="11" xfId="0" applyNumberFormat="1" applyFont="1" applyFill="1" applyBorder="1" applyAlignment="1" applyProtection="1">
      <alignment horizontal="right" vertical="center"/>
      <protection hidden="1"/>
    </xf>
    <xf numFmtId="14" fontId="5" fillId="0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0" fontId="5" fillId="0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justify"/>
      <protection hidden="1"/>
    </xf>
    <xf numFmtId="9" fontId="11" fillId="0" borderId="0" xfId="0" applyNumberFormat="1" applyFont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1" fontId="14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left" vertical="justify"/>
      <protection hidden="1"/>
    </xf>
    <xf numFmtId="3" fontId="11" fillId="34" borderId="16" xfId="0" applyNumberFormat="1" applyFont="1" applyFill="1" applyBorder="1" applyAlignment="1" applyProtection="1">
      <alignment horizontal="right" vertical="center"/>
      <protection locked="0"/>
    </xf>
    <xf numFmtId="49" fontId="5" fillId="34" borderId="16" xfId="0" applyNumberFormat="1" applyFont="1" applyFill="1" applyBorder="1" applyAlignment="1" applyProtection="1">
      <alignment horizontal="right" vertical="center"/>
      <protection locked="0"/>
    </xf>
    <xf numFmtId="3" fontId="11" fillId="34" borderId="1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hidden="1"/>
    </xf>
    <xf numFmtId="3" fontId="13" fillId="0" borderId="0" xfId="0" applyNumberFormat="1" applyFont="1" applyFill="1" applyBorder="1" applyAlignment="1" applyProtection="1">
      <alignment horizontal="left" vertical="center"/>
      <protection hidden="1"/>
    </xf>
    <xf numFmtId="49" fontId="5" fillId="38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55" applyFont="1" applyAlignment="1" applyProtection="1">
      <alignment vertical="center"/>
      <protection hidden="1"/>
    </xf>
    <xf numFmtId="0" fontId="14" fillId="0" borderId="0" xfId="55" applyFont="1" applyProtection="1">
      <alignment/>
      <protection hidden="1"/>
    </xf>
    <xf numFmtId="0" fontId="10" fillId="0" borderId="0" xfId="55" applyFont="1" applyAlignment="1" applyProtection="1">
      <alignment vertical="center" wrapText="1"/>
      <protection hidden="1"/>
    </xf>
    <xf numFmtId="0" fontId="7" fillId="0" borderId="0" xfId="55" applyFont="1" applyAlignment="1" applyProtection="1">
      <alignment horizontal="left"/>
      <protection hidden="1"/>
    </xf>
    <xf numFmtId="0" fontId="10" fillId="0" borderId="0" xfId="55" applyFont="1" applyFill="1" applyAlignment="1" applyProtection="1">
      <alignment vertical="center" wrapText="1"/>
      <protection hidden="1"/>
    </xf>
    <xf numFmtId="0" fontId="15" fillId="0" borderId="0" xfId="55" applyFont="1" applyProtection="1">
      <alignment/>
      <protection hidden="1"/>
    </xf>
    <xf numFmtId="3" fontId="7" fillId="0" borderId="0" xfId="55" applyNumberFormat="1" applyFont="1" applyAlignment="1" applyProtection="1">
      <alignment horizontal="left" wrapText="1"/>
      <protection hidden="1"/>
    </xf>
    <xf numFmtId="0" fontId="14" fillId="0" borderId="0" xfId="55" applyFont="1" applyAlignment="1" applyProtection="1">
      <alignment horizontal="left"/>
      <protection hidden="1"/>
    </xf>
    <xf numFmtId="0" fontId="15" fillId="0" borderId="0" xfId="55" applyFont="1" applyAlignment="1" applyProtection="1">
      <alignment horizontal="left"/>
      <protection hidden="1"/>
    </xf>
    <xf numFmtId="0" fontId="27" fillId="0" borderId="0" xfId="0" applyFont="1" applyAlignment="1" applyProtection="1">
      <alignment vertical="center"/>
      <protection hidden="1"/>
    </xf>
    <xf numFmtId="0" fontId="8" fillId="0" borderId="0" xfId="55" applyFont="1" applyBorder="1" applyAlignment="1" applyProtection="1">
      <alignment horizontal="left"/>
      <protection hidden="1"/>
    </xf>
    <xf numFmtId="0" fontId="8" fillId="0" borderId="0" xfId="55" applyFont="1" applyFill="1" applyBorder="1" applyAlignment="1" applyProtection="1">
      <alignment horizontal="left"/>
      <protection hidden="1"/>
    </xf>
    <xf numFmtId="0" fontId="8" fillId="0" borderId="0" xfId="55" applyFont="1" applyAlignment="1" applyProtection="1">
      <alignment horizontal="left"/>
      <protection hidden="1"/>
    </xf>
    <xf numFmtId="0" fontId="21" fillId="0" borderId="0" xfId="55" applyFont="1" applyProtection="1">
      <alignment/>
      <protection hidden="1"/>
    </xf>
    <xf numFmtId="0" fontId="29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12" fillId="0" borderId="17" xfId="55" applyFont="1" applyBorder="1" applyAlignment="1" applyProtection="1">
      <alignment horizontal="center" vertical="center" wrapText="1"/>
      <protection hidden="1"/>
    </xf>
    <xf numFmtId="0" fontId="12" fillId="0" borderId="17" xfId="55" applyFont="1" applyFill="1" applyBorder="1" applyAlignment="1" applyProtection="1">
      <alignment horizontal="center" vertical="center" wrapText="1"/>
      <protection hidden="1"/>
    </xf>
    <xf numFmtId="0" fontId="14" fillId="0" borderId="0" xfId="55" applyFont="1" applyAlignment="1" applyProtection="1">
      <alignment vertical="center"/>
      <protection hidden="1"/>
    </xf>
    <xf numFmtId="0" fontId="7" fillId="0" borderId="18" xfId="55" applyFont="1" applyBorder="1" applyAlignment="1" applyProtection="1">
      <alignment horizontal="center" vertical="center" wrapText="1"/>
      <protection hidden="1"/>
    </xf>
    <xf numFmtId="0" fontId="7" fillId="0" borderId="19" xfId="55" applyFont="1" applyFill="1" applyBorder="1" applyAlignment="1" applyProtection="1">
      <alignment horizontal="justify" vertical="center" wrapText="1"/>
      <protection hidden="1"/>
    </xf>
    <xf numFmtId="3" fontId="7" fillId="0" borderId="20" xfId="55" applyNumberFormat="1" applyFont="1" applyBorder="1" applyAlignment="1" applyProtection="1">
      <alignment horizontal="center" vertical="center" wrapText="1"/>
      <protection hidden="1"/>
    </xf>
    <xf numFmtId="0" fontId="7" fillId="0" borderId="21" xfId="55" applyFont="1" applyBorder="1" applyAlignment="1" applyProtection="1">
      <alignment horizontal="center" vertical="center" wrapText="1"/>
      <protection hidden="1"/>
    </xf>
    <xf numFmtId="0" fontId="7" fillId="0" borderId="22" xfId="55" applyFont="1" applyFill="1" applyBorder="1" applyAlignment="1" applyProtection="1">
      <alignment horizontal="justify" vertical="center" wrapText="1"/>
      <protection hidden="1"/>
    </xf>
    <xf numFmtId="3" fontId="7" fillId="0" borderId="23" xfId="55" applyNumberFormat="1" applyFont="1" applyBorder="1" applyAlignment="1" applyProtection="1">
      <alignment horizontal="center" vertical="center" wrapText="1"/>
      <protection hidden="1"/>
    </xf>
    <xf numFmtId="0" fontId="15" fillId="0" borderId="24" xfId="55" applyFont="1" applyBorder="1" applyAlignment="1" applyProtection="1">
      <alignment horizontal="justify" vertical="center" wrapText="1"/>
      <protection hidden="1"/>
    </xf>
    <xf numFmtId="0" fontId="7" fillId="0" borderId="25" xfId="55" applyFont="1" applyFill="1" applyBorder="1" applyAlignment="1" applyProtection="1">
      <alignment horizontal="justify" vertical="center" wrapText="1"/>
      <protection hidden="1"/>
    </xf>
    <xf numFmtId="3" fontId="7" fillId="0" borderId="26" xfId="55" applyNumberFormat="1" applyFont="1" applyBorder="1" applyAlignment="1" applyProtection="1">
      <alignment horizontal="center" vertical="center" wrapText="1"/>
      <protection hidden="1"/>
    </xf>
    <xf numFmtId="0" fontId="12" fillId="0" borderId="17" xfId="55" applyFont="1" applyBorder="1" applyAlignment="1" applyProtection="1">
      <alignment horizontal="center" wrapText="1"/>
      <protection hidden="1"/>
    </xf>
    <xf numFmtId="0" fontId="15" fillId="0" borderId="21" xfId="55" applyFont="1" applyBorder="1" applyAlignment="1" applyProtection="1">
      <alignment horizontal="justify" vertical="center" wrapText="1"/>
      <protection hidden="1"/>
    </xf>
    <xf numFmtId="0" fontId="7" fillId="0" borderId="22" xfId="55" applyFont="1" applyFill="1" applyBorder="1" applyAlignment="1" applyProtection="1">
      <alignment horizontal="center" vertical="center" wrapText="1"/>
      <protection hidden="1"/>
    </xf>
    <xf numFmtId="0" fontId="7" fillId="0" borderId="27" xfId="55" applyFont="1" applyBorder="1" applyAlignment="1" applyProtection="1">
      <alignment horizontal="justify" vertical="center" wrapText="1"/>
      <protection hidden="1"/>
    </xf>
    <xf numFmtId="222" fontId="7" fillId="0" borderId="28" xfId="55" applyNumberFormat="1" applyFont="1" applyBorder="1" applyAlignment="1" applyProtection="1">
      <alignment horizontal="center" vertical="center" wrapText="1"/>
      <protection hidden="1"/>
    </xf>
    <xf numFmtId="0" fontId="12" fillId="0" borderId="22" xfId="53" applyFont="1" applyFill="1" applyBorder="1" applyAlignment="1" applyProtection="1">
      <alignment horizontal="left" vertical="center" wrapText="1"/>
      <protection hidden="1"/>
    </xf>
    <xf numFmtId="194" fontId="7" fillId="0" borderId="23" xfId="55" applyNumberFormat="1" applyFont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3" fontId="26" fillId="0" borderId="23" xfId="55" applyNumberFormat="1" applyFont="1" applyBorder="1" applyAlignment="1" applyProtection="1">
      <alignment horizontal="center" vertical="center" wrapText="1"/>
      <protection hidden="1"/>
    </xf>
    <xf numFmtId="0" fontId="15" fillId="0" borderId="29" xfId="55" applyFont="1" applyBorder="1" applyAlignment="1" applyProtection="1">
      <alignment horizontal="justify" vertical="center" wrapText="1"/>
      <protection hidden="1"/>
    </xf>
    <xf numFmtId="0" fontId="7" fillId="0" borderId="30" xfId="55" applyFont="1" applyFill="1" applyBorder="1" applyAlignment="1" applyProtection="1">
      <alignment horizontal="justify" vertical="center" wrapText="1"/>
      <protection hidden="1"/>
    </xf>
    <xf numFmtId="3" fontId="7" fillId="0" borderId="31" xfId="55" applyNumberFormat="1" applyFont="1" applyBorder="1" applyAlignment="1" applyProtection="1">
      <alignment horizontal="center" vertical="center" wrapText="1"/>
      <protection hidden="1"/>
    </xf>
    <xf numFmtId="0" fontId="15" fillId="0" borderId="18" xfId="55" applyFont="1" applyBorder="1" applyAlignment="1" applyProtection="1">
      <alignment horizontal="justify" vertical="center" wrapText="1"/>
      <protection hidden="1"/>
    </xf>
    <xf numFmtId="0" fontId="7" fillId="0" borderId="19" xfId="55" applyFont="1" applyFill="1" applyBorder="1" applyAlignment="1" applyProtection="1">
      <alignment horizontal="center" vertical="center" wrapText="1"/>
      <protection hidden="1"/>
    </xf>
    <xf numFmtId="0" fontId="7" fillId="0" borderId="32" xfId="55" applyFont="1" applyBorder="1" applyAlignment="1" applyProtection="1">
      <alignment horizontal="justify" vertical="center" wrapText="1"/>
      <protection hidden="1"/>
    </xf>
    <xf numFmtId="0" fontId="7" fillId="0" borderId="22" xfId="55" applyFont="1" applyFill="1" applyBorder="1" applyAlignment="1" applyProtection="1">
      <alignment horizontal="left" vertical="center" wrapText="1"/>
      <protection hidden="1"/>
    </xf>
    <xf numFmtId="0" fontId="15" fillId="0" borderId="33" xfId="55" applyFont="1" applyBorder="1" applyAlignment="1" applyProtection="1">
      <alignment horizontal="justify" vertical="center" wrapText="1"/>
      <protection hidden="1"/>
    </xf>
    <xf numFmtId="0" fontId="7" fillId="0" borderId="34" xfId="55" applyFont="1" applyFill="1" applyBorder="1" applyAlignment="1" applyProtection="1">
      <alignment horizontal="justify" vertical="center" wrapText="1"/>
      <protection hidden="1"/>
    </xf>
    <xf numFmtId="0" fontId="15" fillId="0" borderId="0" xfId="55" applyFont="1" applyBorder="1" applyAlignment="1" applyProtection="1">
      <alignment horizontal="justify" vertical="top" wrapText="1"/>
      <protection hidden="1"/>
    </xf>
    <xf numFmtId="0" fontId="7" fillId="0" borderId="0" xfId="55" applyFont="1" applyFill="1" applyBorder="1" applyAlignment="1" applyProtection="1">
      <alignment horizontal="justify" vertical="top" wrapText="1"/>
      <protection hidden="1"/>
    </xf>
    <xf numFmtId="3" fontId="15" fillId="0" borderId="0" xfId="55" applyNumberFormat="1" applyFont="1" applyBorder="1" applyAlignment="1" applyProtection="1">
      <alignment horizontal="justify" vertical="top" wrapText="1"/>
      <protection hidden="1"/>
    </xf>
    <xf numFmtId="3" fontId="15" fillId="0" borderId="0" xfId="55" applyNumberFormat="1" applyFont="1" applyProtection="1">
      <alignment/>
      <protection hidden="1"/>
    </xf>
    <xf numFmtId="0" fontId="7" fillId="0" borderId="0" xfId="55" applyFont="1" applyAlignment="1" applyProtection="1">
      <alignment horizontal="right"/>
      <protection hidden="1"/>
    </xf>
    <xf numFmtId="3" fontId="15" fillId="0" borderId="0" xfId="55" applyNumberFormat="1" applyFont="1" applyAlignment="1" applyProtection="1">
      <alignment wrapText="1"/>
      <protection hidden="1"/>
    </xf>
    <xf numFmtId="0" fontId="14" fillId="0" borderId="0" xfId="55" applyFont="1" applyAlignment="1" applyProtection="1">
      <alignment wrapText="1"/>
      <protection hidden="1"/>
    </xf>
    <xf numFmtId="0" fontId="15" fillId="0" borderId="0" xfId="55" applyFont="1" applyFill="1" applyProtection="1">
      <alignment/>
      <protection hidden="1"/>
    </xf>
    <xf numFmtId="0" fontId="15" fillId="0" borderId="0" xfId="55" applyFont="1" applyAlignment="1" applyProtection="1">
      <alignment horizontal="justify"/>
      <protection hidden="1"/>
    </xf>
    <xf numFmtId="0" fontId="10" fillId="0" borderId="0" xfId="55" applyFont="1" applyFill="1" applyBorder="1" applyAlignment="1" applyProtection="1">
      <alignment horizontal="left" vertical="center" wrapText="1"/>
      <protection hidden="1"/>
    </xf>
    <xf numFmtId="0" fontId="24" fillId="0" borderId="0" xfId="55" applyFont="1" applyProtection="1">
      <alignment/>
      <protection hidden="1"/>
    </xf>
    <xf numFmtId="0" fontId="8" fillId="0" borderId="35" xfId="55" applyFont="1" applyBorder="1" applyAlignment="1" applyProtection="1">
      <alignment horizontal="left"/>
      <protection hidden="1"/>
    </xf>
    <xf numFmtId="0" fontId="8" fillId="0" borderId="35" xfId="55" applyFont="1" applyFill="1" applyBorder="1" applyAlignment="1" applyProtection="1">
      <alignment horizontal="left"/>
      <protection hidden="1"/>
    </xf>
    <xf numFmtId="0" fontId="18" fillId="0" borderId="0" xfId="55" applyFont="1" applyAlignment="1" applyProtection="1">
      <alignment vertical="center" wrapText="1"/>
      <protection hidden="1"/>
    </xf>
    <xf numFmtId="3" fontId="7" fillId="0" borderId="36" xfId="55" applyNumberFormat="1" applyFont="1" applyBorder="1" applyAlignment="1" applyProtection="1">
      <alignment horizontal="center" vertical="center" wrapText="1"/>
      <protection hidden="1"/>
    </xf>
    <xf numFmtId="3" fontId="14" fillId="0" borderId="0" xfId="55" applyNumberFormat="1" applyFont="1" applyProtection="1">
      <alignment/>
      <protection hidden="1"/>
    </xf>
    <xf numFmtId="0" fontId="5" fillId="0" borderId="0" xfId="55" applyFont="1" applyProtection="1">
      <alignment/>
      <protection hidden="1"/>
    </xf>
    <xf numFmtId="0" fontId="19" fillId="0" borderId="0" xfId="55" applyFont="1" applyAlignment="1" applyProtection="1">
      <alignment vertical="center" wrapText="1"/>
      <protection hidden="1"/>
    </xf>
    <xf numFmtId="0" fontId="14" fillId="0" borderId="0" xfId="55" applyFont="1" applyFill="1" applyProtection="1">
      <alignment/>
      <protection hidden="1"/>
    </xf>
    <xf numFmtId="0" fontId="14" fillId="39" borderId="11" xfId="55" applyFont="1" applyFill="1" applyBorder="1" applyProtection="1">
      <alignment/>
      <protection locked="0"/>
    </xf>
    <xf numFmtId="0" fontId="7" fillId="0" borderId="0" xfId="55" applyFont="1" applyAlignment="1" applyProtection="1">
      <alignment/>
      <protection hidden="1"/>
    </xf>
    <xf numFmtId="2" fontId="7" fillId="0" borderId="0" xfId="55" applyNumberFormat="1" applyFont="1" applyAlignment="1" applyProtection="1">
      <alignment horizontal="right"/>
      <protection hidden="1"/>
    </xf>
    <xf numFmtId="0" fontId="34" fillId="0" borderId="0" xfId="55" applyFont="1" applyAlignment="1" applyProtection="1">
      <alignment vertical="center"/>
      <protection hidden="1"/>
    </xf>
    <xf numFmtId="0" fontId="27" fillId="0" borderId="0" xfId="55" applyFont="1" applyProtection="1">
      <alignment/>
      <protection hidden="1"/>
    </xf>
    <xf numFmtId="0" fontId="28" fillId="0" borderId="0" xfId="55" applyFont="1" applyProtection="1">
      <alignment/>
      <protection hidden="1"/>
    </xf>
    <xf numFmtId="0" fontId="29" fillId="0" borderId="0" xfId="55" applyFont="1" applyProtection="1">
      <alignment/>
      <protection hidden="1"/>
    </xf>
    <xf numFmtId="0" fontId="28" fillId="0" borderId="0" xfId="55" applyFont="1" applyAlignment="1" applyProtection="1">
      <alignment vertical="center"/>
      <protection hidden="1"/>
    </xf>
    <xf numFmtId="2" fontId="10" fillId="0" borderId="0" xfId="55" applyNumberFormat="1" applyFont="1" applyAlignment="1" applyProtection="1">
      <alignment wrapText="1"/>
      <protection hidden="1"/>
    </xf>
    <xf numFmtId="0" fontId="35" fillId="0" borderId="0" xfId="55" applyFont="1" applyProtection="1">
      <alignment/>
      <protection hidden="1"/>
    </xf>
    <xf numFmtId="49" fontId="5" fillId="0" borderId="16" xfId="0" applyNumberFormat="1" applyFont="1" applyFill="1" applyBorder="1" applyAlignment="1" applyProtection="1">
      <alignment horizontal="right" vertical="center"/>
      <protection hidden="1"/>
    </xf>
    <xf numFmtId="3" fontId="11" fillId="0" borderId="37" xfId="0" applyNumberFormat="1" applyFont="1" applyFill="1" applyBorder="1" applyAlignment="1" applyProtection="1">
      <alignment vertical="center"/>
      <protection hidden="1"/>
    </xf>
    <xf numFmtId="173" fontId="37" fillId="0" borderId="0" xfId="54" applyNumberFormat="1" applyFont="1" applyFill="1" applyBorder="1" applyAlignment="1" applyProtection="1">
      <alignment horizontal="center"/>
      <protection hidden="1"/>
    </xf>
    <xf numFmtId="0" fontId="37" fillId="0" borderId="0" xfId="54" applyFont="1" applyFill="1" applyBorder="1" applyProtection="1">
      <alignment/>
      <protection hidden="1"/>
    </xf>
    <xf numFmtId="14" fontId="26" fillId="0" borderId="0" xfId="54" applyNumberFormat="1" applyFont="1" applyFill="1" applyBorder="1" applyAlignment="1" applyProtection="1">
      <alignment horizontal="left"/>
      <protection hidden="1"/>
    </xf>
    <xf numFmtId="0" fontId="36" fillId="0" borderId="0" xfId="54" applyFont="1" applyFill="1" applyBorder="1" applyAlignment="1" applyProtection="1">
      <alignment horizontal="center" vertical="justify"/>
      <protection hidden="1"/>
    </xf>
    <xf numFmtId="14" fontId="36" fillId="0" borderId="0" xfId="54" applyNumberFormat="1" applyFont="1" applyFill="1" applyBorder="1" applyAlignment="1" applyProtection="1">
      <alignment horizontal="center" vertical="justify" wrapText="1"/>
      <protection hidden="1"/>
    </xf>
    <xf numFmtId="173" fontId="36" fillId="0" borderId="0" xfId="54" applyNumberFormat="1" applyFont="1" applyFill="1" applyBorder="1" applyAlignment="1" applyProtection="1">
      <alignment horizontal="center" vertical="justify"/>
      <protection hidden="1"/>
    </xf>
    <xf numFmtId="0" fontId="36" fillId="0" borderId="0" xfId="54" applyFont="1" applyFill="1" applyBorder="1" applyAlignment="1" applyProtection="1">
      <alignment vertical="justify"/>
      <protection hidden="1"/>
    </xf>
    <xf numFmtId="0" fontId="36" fillId="0" borderId="0" xfId="54" applyFont="1" applyFill="1" applyBorder="1" applyAlignment="1" applyProtection="1">
      <alignment vertical="center"/>
      <protection hidden="1"/>
    </xf>
    <xf numFmtId="175" fontId="36" fillId="0" borderId="0" xfId="54" applyNumberFormat="1" applyFont="1" applyFill="1" applyBorder="1" applyAlignment="1" applyProtection="1">
      <alignment horizontal="center" vertical="justify"/>
      <protection hidden="1"/>
    </xf>
    <xf numFmtId="0" fontId="37" fillId="0" borderId="0" xfId="54" applyFont="1" applyFill="1" applyBorder="1" applyAlignment="1" applyProtection="1">
      <alignment horizontal="center"/>
      <protection hidden="1"/>
    </xf>
    <xf numFmtId="14" fontId="37" fillId="0" borderId="0" xfId="54" applyNumberFormat="1" applyFont="1" applyFill="1" applyBorder="1" applyAlignment="1" applyProtection="1">
      <alignment horizontal="center" vertical="justify"/>
      <protection hidden="1"/>
    </xf>
    <xf numFmtId="10" fontId="37" fillId="0" borderId="0" xfId="60" applyNumberFormat="1" applyFont="1" applyFill="1" applyBorder="1" applyAlignment="1" applyProtection="1">
      <alignment horizontal="center"/>
      <protection hidden="1"/>
    </xf>
    <xf numFmtId="10" fontId="37" fillId="0" borderId="0" xfId="54" applyNumberFormat="1" applyFont="1" applyFill="1" applyBorder="1" applyProtection="1">
      <alignment/>
      <protection hidden="1"/>
    </xf>
    <xf numFmtId="14" fontId="37" fillId="0" borderId="0" xfId="54" applyNumberFormat="1" applyFont="1" applyFill="1" applyBorder="1" applyAlignment="1" applyProtection="1">
      <alignment horizontal="center"/>
      <protection hidden="1"/>
    </xf>
    <xf numFmtId="0" fontId="28" fillId="0" borderId="0" xfId="55" applyFont="1" applyFill="1" applyBorder="1" applyAlignment="1" applyProtection="1">
      <alignment horizontal="right"/>
      <protection hidden="1"/>
    </xf>
    <xf numFmtId="0" fontId="37" fillId="0" borderId="0" xfId="54" applyFont="1" applyFill="1">
      <alignment/>
      <protection/>
    </xf>
    <xf numFmtId="0" fontId="37" fillId="0" borderId="38" xfId="54" applyNumberFormat="1" applyFont="1" applyFill="1" applyBorder="1" applyAlignment="1" applyProtection="1">
      <alignment horizontal="center"/>
      <protection hidden="1"/>
    </xf>
    <xf numFmtId="10" fontId="37" fillId="0" borderId="38" xfId="54" applyNumberFormat="1" applyFont="1" applyFill="1" applyBorder="1" applyAlignment="1" applyProtection="1">
      <alignment horizontal="center"/>
      <protection hidden="1"/>
    </xf>
    <xf numFmtId="0" fontId="37" fillId="0" borderId="39" xfId="54" applyNumberFormat="1" applyFont="1" applyFill="1" applyBorder="1" applyAlignment="1" applyProtection="1">
      <alignment horizontal="center"/>
      <protection hidden="1"/>
    </xf>
    <xf numFmtId="10" fontId="37" fillId="0" borderId="39" xfId="54" applyNumberFormat="1" applyFont="1" applyFill="1" applyBorder="1" applyAlignment="1" applyProtection="1">
      <alignment horizontal="center"/>
      <protection hidden="1"/>
    </xf>
    <xf numFmtId="0" fontId="36" fillId="0" borderId="11" xfId="54" applyFont="1" applyFill="1" applyBorder="1" applyAlignment="1" applyProtection="1">
      <alignment horizontal="center" vertical="justify"/>
      <protection hidden="1"/>
    </xf>
    <xf numFmtId="0" fontId="37" fillId="0" borderId="40" xfId="54" applyNumberFormat="1" applyFont="1" applyFill="1" applyBorder="1" applyAlignment="1" applyProtection="1">
      <alignment horizontal="center"/>
      <protection hidden="1"/>
    </xf>
    <xf numFmtId="10" fontId="37" fillId="0" borderId="40" xfId="54" applyNumberFormat="1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 applyProtection="1">
      <alignment vertical="center"/>
      <protection locked="0"/>
    </xf>
    <xf numFmtId="193" fontId="5" fillId="0" borderId="16" xfId="0" applyNumberFormat="1" applyFont="1" applyBorder="1" applyAlignment="1" applyProtection="1">
      <alignment vertical="center"/>
      <protection hidden="1"/>
    </xf>
    <xf numFmtId="0" fontId="17" fillId="0" borderId="11" xfId="0" applyNumberFormat="1" applyFont="1" applyFill="1" applyBorder="1" applyAlignment="1" applyProtection="1">
      <alignment horizontal="right" vertic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7" fillId="0" borderId="0" xfId="55" applyFont="1" applyAlignment="1" applyProtection="1">
      <alignment horizontal="left"/>
      <protection hidden="1"/>
    </xf>
    <xf numFmtId="3" fontId="7" fillId="0" borderId="0" xfId="55" applyNumberFormat="1" applyFont="1" applyAlignment="1" applyProtection="1">
      <alignment horizontal="left" wrapText="1"/>
      <protection hidden="1"/>
    </xf>
    <xf numFmtId="0" fontId="7" fillId="40" borderId="42" xfId="55" applyFont="1" applyFill="1" applyBorder="1" applyAlignment="1" applyProtection="1">
      <alignment horizontal="center" wrapText="1"/>
      <protection hidden="1"/>
    </xf>
    <xf numFmtId="0" fontId="7" fillId="40" borderId="43" xfId="55" applyFont="1" applyFill="1" applyBorder="1" applyAlignment="1" applyProtection="1">
      <alignment horizontal="center" wrapText="1"/>
      <protection hidden="1"/>
    </xf>
    <xf numFmtId="0" fontId="7" fillId="40" borderId="44" xfId="55" applyFont="1" applyFill="1" applyBorder="1" applyAlignment="1" applyProtection="1">
      <alignment horizontal="center" wrapText="1"/>
      <protection hidden="1"/>
    </xf>
    <xf numFmtId="0" fontId="7" fillId="40" borderId="45" xfId="55" applyFont="1" applyFill="1" applyBorder="1" applyAlignment="1" applyProtection="1">
      <alignment horizontal="center" vertical="top" wrapText="1"/>
      <protection hidden="1"/>
    </xf>
    <xf numFmtId="0" fontId="7" fillId="40" borderId="46" xfId="55" applyFont="1" applyFill="1" applyBorder="1" applyAlignment="1" applyProtection="1">
      <alignment horizontal="center" vertical="top" wrapText="1"/>
      <protection hidden="1"/>
    </xf>
    <xf numFmtId="0" fontId="7" fillId="40" borderId="47" xfId="55" applyFont="1" applyFill="1" applyBorder="1" applyAlignment="1" applyProtection="1">
      <alignment horizontal="center" vertical="top" wrapText="1"/>
      <protection hidden="1"/>
    </xf>
    <xf numFmtId="49" fontId="7" fillId="0" borderId="0" xfId="55" applyNumberFormat="1" applyFont="1" applyAlignment="1" applyProtection="1">
      <alignment horizontal="left" wrapText="1"/>
      <protection hidden="1"/>
    </xf>
    <xf numFmtId="0" fontId="7" fillId="0" borderId="0" xfId="55" applyFont="1" applyAlignment="1" applyProtection="1">
      <alignment horizontal="left" wrapText="1"/>
      <protection hidden="1"/>
    </xf>
    <xf numFmtId="0" fontId="7" fillId="0" borderId="0" xfId="55" applyFont="1" applyAlignment="1" applyProtection="1">
      <alignment horizontal="left" vertical="center" wrapText="1"/>
      <protection hidden="1"/>
    </xf>
    <xf numFmtId="0" fontId="6" fillId="0" borderId="0" xfId="55" applyFont="1" applyAlignment="1" applyProtection="1">
      <alignment horizontal="center" vertical="center"/>
      <protection hidden="1"/>
    </xf>
    <xf numFmtId="0" fontId="7" fillId="40" borderId="17" xfId="55" applyFont="1" applyFill="1" applyBorder="1" applyAlignment="1" applyProtection="1">
      <alignment horizontal="center" vertical="top" wrapText="1"/>
      <protection hidden="1"/>
    </xf>
    <xf numFmtId="2" fontId="7" fillId="0" borderId="0" xfId="55" applyNumberFormat="1" applyFont="1" applyAlignment="1" applyProtection="1">
      <alignment horizontal="left" wrapText="1"/>
      <protection hidden="1"/>
    </xf>
    <xf numFmtId="0" fontId="7" fillId="40" borderId="45" xfId="55" applyFont="1" applyFill="1" applyBorder="1" applyAlignment="1" applyProtection="1">
      <alignment horizontal="center" wrapText="1"/>
      <protection hidden="1"/>
    </xf>
    <xf numFmtId="0" fontId="7" fillId="40" borderId="46" xfId="55" applyFont="1" applyFill="1" applyBorder="1" applyAlignment="1" applyProtection="1">
      <alignment horizontal="center" wrapText="1"/>
      <protection hidden="1"/>
    </xf>
    <xf numFmtId="0" fontId="7" fillId="40" borderId="47" xfId="55" applyFont="1" applyFill="1" applyBorder="1" applyAlignment="1" applyProtection="1">
      <alignment horizontal="center" wrapText="1"/>
      <protection hidden="1"/>
    </xf>
    <xf numFmtId="14" fontId="36" fillId="0" borderId="0" xfId="54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 инфляции" xfId="54"/>
    <cellStyle name="Обычный_Структура затрат Цены Заказчика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 val="0"/>
        <i val="0"/>
        <color auto="1"/>
      </font>
    </dxf>
    <dxf>
      <font>
        <b/>
        <i val="0"/>
        <color auto="1"/>
      </font>
      <fill>
        <patternFill>
          <bgColor indexed="31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45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CC9CCC"/>
        </patternFill>
      </fill>
      <border/>
    </dxf>
    <dxf>
      <font>
        <b/>
        <i val="0"/>
        <color rgb="FFFF0000"/>
      </font>
      <border/>
    </dxf>
    <dxf>
      <font>
        <b val="0"/>
        <i val="0"/>
        <color auto="1"/>
      </font>
      <border/>
    </dxf>
    <dxf>
      <font>
        <b/>
        <i val="0"/>
        <color auto="1"/>
      </font>
      <fill>
        <patternFill>
          <bgColor rgb="FFC0C0FF"/>
        </patternFill>
      </fill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u\Obmen\&#1062;&#1077;&#1085;&#1072;%20&#1047;&#1072;&#1082;&#1072;&#1079;&#1095;&#1080;&#1082;&#1072;\&#1056;&#1072;&#1089;&#1095;&#1077;&#1090;%20&#1094;&#1077;&#1085;&#1099;%20%20&#1047;&#1072;&#1082;&#1072;&#1079;&#1095;&#1080;&#1082;&#1072;%20&#1087;&#1086;%20&#1050;&#1072;&#1083;&#1080;&#1085;&#1080;&#1085;&#1089;&#1082;&#1086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&#1059;&#1055;&#1056;&#1040;&#1042;&#1051;&#1045;&#1053;&#1048;&#1045;\&#1054;&#1090;&#1076;&#1077;&#1083;%20&#1094;&#1077;&#1085;&#1086;&#1086;&#1073;&#1088;&#1072;&#1079;&#1086;&#1074;&#1072;&#1085;&#1080;&#1103;\&#1054;&#1073;&#1097;&#1080;&#1077;\&#1058;&#1086;&#1088;&#1075;&#1080;%202009\&#1054;&#1058;&#1044;&#1045;&#1051;&#1067;\&#1054;&#1090;&#1076;&#1077;&#1083;%20&#1094;&#1077;&#1085;&#1086;&#1086;&#1073;&#1088;&#1072;&#1079;&#1086;&#1074;&#1072;&#1085;&#1080;&#1103;\!&#1045;&#1084;&#1077;&#1083;&#1100;&#1103;&#1085;&#1086;&#1074;\&#1051;&#1080;&#1095;&#1085;&#1099;&#1077;\2005%20&#1075;&#1086;&#1076;\&#1060;&#1077;&#1076;&#1077;&#1088;&#1072;&#1083;&#1100;&#1085;&#1099;&#1077;%20&#1086;&#1073;&#1098;&#1077;&#1082;&#1090;&#1099;%202005%20&#1075;&#1086;&#1076;&#1072;\&#1047;&#1072;&#1090;&#1088;&#1072;&#1090;&#1099;%20&#1079;&#1072;&#1082;&#1072;&#1079;&#1095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"/>
      <sheetName val="Цена Заказчика"/>
      <sheetName val="Ресурсы"/>
      <sheetName val="Лимитированные затраты"/>
      <sheetName val="Оплата труда"/>
      <sheetName val="Инфляция"/>
      <sheetName val="Лист17"/>
      <sheetName val="Лист16"/>
      <sheetName val="Лист15"/>
      <sheetName val="Лист14"/>
      <sheetName val="Лист13"/>
      <sheetName val="Лист12"/>
      <sheetName val="Лист10"/>
      <sheetName val="Лист9"/>
      <sheetName val="Лист8"/>
      <sheetName val="Лист7"/>
      <sheetName val="Лист6"/>
      <sheetName val="Лист5"/>
      <sheetName val="Лист3"/>
    </sheetNames>
    <sheetDataSet>
      <sheetData sheetId="0">
        <row r="3">
          <cell r="A3">
            <v>1</v>
          </cell>
          <cell r="C3" t="str">
            <v>Абинский</v>
          </cell>
          <cell r="D3" t="str">
            <v>Федоровская-Холмский км 19+800-28+700</v>
          </cell>
          <cell r="F3" t="str">
            <v>Поверхностная обработка (II вариант)</v>
          </cell>
          <cell r="G3" t="str">
            <v>Район: Абинский \ Федоровская-Холмский км 19+800-28+700 \ Поверхностная обработка (II вариант)</v>
          </cell>
          <cell r="H3">
            <v>36982</v>
          </cell>
          <cell r="I3">
            <v>37165</v>
          </cell>
          <cell r="J3">
            <v>37072</v>
          </cell>
        </row>
        <row r="4">
          <cell r="A4">
            <v>2</v>
          </cell>
          <cell r="C4" t="str">
            <v>Абинский</v>
          </cell>
          <cell r="D4" t="str">
            <v>Абинск - Варнавинское  водохранилище км 10+100-18+200</v>
          </cell>
          <cell r="F4" t="str">
            <v>Поверхностная обработка (II вариант)</v>
          </cell>
          <cell r="G4" t="str">
            <v>Район: Абинский \ Абинск - Варнавинское  водохранилище км 10+100-18+200 \ Поверхностная обработка (II вариант)</v>
          </cell>
          <cell r="H4">
            <v>36982</v>
          </cell>
          <cell r="I4">
            <v>37165</v>
          </cell>
          <cell r="J4">
            <v>37072</v>
          </cell>
        </row>
        <row r="5">
          <cell r="A5">
            <v>3</v>
          </cell>
          <cell r="C5" t="str">
            <v>Абинский</v>
          </cell>
          <cell r="D5" t="str">
            <v>Абинск - Шапсугская ;  км: 0+000-1+500</v>
          </cell>
          <cell r="F5" t="str">
            <v>Поверхностная обработка (II вариант)</v>
          </cell>
          <cell r="G5" t="str">
            <v>Район: Абинский \ Абинск - Шапсугская ;  км: 0+000-1+500 \ Поверхностная обработка (II вариант)</v>
          </cell>
          <cell r="H5">
            <v>36982</v>
          </cell>
          <cell r="I5">
            <v>37165</v>
          </cell>
          <cell r="J5">
            <v>37072</v>
          </cell>
        </row>
        <row r="6">
          <cell r="A6">
            <v>4</v>
          </cell>
          <cell r="C6" t="str">
            <v>Абинский</v>
          </cell>
          <cell r="D6" t="str">
            <v>Федоровская - Холмский - Новый ;  км: 35+800-38+800</v>
          </cell>
          <cell r="F6" t="str">
            <v>Облегченный ремонт - III вариант</v>
          </cell>
          <cell r="G6" t="str">
            <v>Район: Абинский \ Федоровская - Холмский - Новый ;  км: 35+800-38+800 \ Облегченный ремонт - III вариант</v>
          </cell>
          <cell r="H6">
            <v>36982</v>
          </cell>
          <cell r="I6">
            <v>37165</v>
          </cell>
          <cell r="J6">
            <v>37072</v>
          </cell>
        </row>
        <row r="7">
          <cell r="A7">
            <v>5</v>
          </cell>
          <cell r="C7" t="str">
            <v>Анапский</v>
          </cell>
          <cell r="D7" t="str">
            <v>Андреева Гора - Варениковская - Анапа ;  км: 31+000-34+000 ; 36+000-39+700</v>
          </cell>
          <cell r="F7" t="str">
            <v>Облегченный ремонт - III вариант</v>
          </cell>
          <cell r="G7" t="str">
            <v>Район: Анапский \ Андреева Гора - Варениковская - Анапа ;  км: 31+000-34+000 ; 36+000-39+700 \ Облегченный ремонт - III вариант</v>
          </cell>
          <cell r="H7">
            <v>36982</v>
          </cell>
          <cell r="I7">
            <v>37165</v>
          </cell>
          <cell r="J7">
            <v>37072</v>
          </cell>
        </row>
        <row r="8">
          <cell r="A8">
            <v>6</v>
          </cell>
          <cell r="C8" t="str">
            <v>Анапский</v>
          </cell>
          <cell r="D8" t="str">
            <v>Подъезд к х.Черный 0+000-5+339</v>
          </cell>
          <cell r="F8" t="str">
            <v>Поверхностная обработка (II вариант)</v>
          </cell>
          <cell r="G8" t="str">
            <v>Район: Анапский \ Подъезд к х.Черный 0+000-5+339 \ Поверхностная обработка (II вариант)</v>
          </cell>
          <cell r="H8">
            <v>36982</v>
          </cell>
          <cell r="I8">
            <v>37165</v>
          </cell>
          <cell r="J8">
            <v>37072</v>
          </cell>
        </row>
        <row r="9">
          <cell r="A9">
            <v>7</v>
          </cell>
          <cell r="C9" t="str">
            <v>Анапский</v>
          </cell>
          <cell r="D9" t="str">
            <v>Подъезд к х.Чеконь  км  0+000-2+385</v>
          </cell>
          <cell r="F9" t="str">
            <v>Поверхностная обработка (II вариант)</v>
          </cell>
          <cell r="G9" t="str">
            <v>Район: Анапский \ Подъезд к х.Чеконь  км  0+000-2+385 \ Поверхностная обработка (II вариант)</v>
          </cell>
          <cell r="H9">
            <v>36982</v>
          </cell>
          <cell r="I9">
            <v>37165</v>
          </cell>
          <cell r="J9">
            <v>37072</v>
          </cell>
        </row>
        <row r="10">
          <cell r="A10">
            <v>8</v>
          </cell>
          <cell r="C10" t="str">
            <v>Анапский</v>
          </cell>
          <cell r="D10" t="str">
            <v>Подъезд к х. Пятихатки  км  0+000-2+234 </v>
          </cell>
          <cell r="F10" t="str">
            <v>Поверхностная обработка (II вариант)</v>
          </cell>
          <cell r="G10" t="str">
            <v>Район: Анапский \ Подъезд к х. Пятихатки  км  0+000-2+234  \ Поверхностная обработка (II вариант)</v>
          </cell>
          <cell r="H10">
            <v>36982</v>
          </cell>
          <cell r="I10">
            <v>37165</v>
          </cell>
          <cell r="J10">
            <v>37072</v>
          </cell>
        </row>
        <row r="11">
          <cell r="A11">
            <v>9</v>
          </cell>
          <cell r="C11" t="str">
            <v>Анапский</v>
          </cell>
          <cell r="D11" t="str">
            <v>Подъезд к п.Витязево 0+000-3+066 </v>
          </cell>
          <cell r="F11" t="str">
            <v>Поверхностная обработка (II вариант)</v>
          </cell>
          <cell r="G11" t="str">
            <v>Район: Анапский \ Подъезд к п.Витязево 0+000-3+066  \ Поверхностная обработка (II вариант)</v>
          </cell>
          <cell r="H11">
            <v>36982</v>
          </cell>
          <cell r="I11">
            <v>37165</v>
          </cell>
          <cell r="J11">
            <v>37072</v>
          </cell>
        </row>
        <row r="12">
          <cell r="A12">
            <v>10</v>
          </cell>
          <cell r="C12" t="str">
            <v>Анапский</v>
          </cell>
          <cell r="D12" t="str">
            <v>Подъезд  к х. Цибанобалка  км 0+000-2+081</v>
          </cell>
          <cell r="F12" t="str">
            <v>Поверхностная обработка (II вариант)</v>
          </cell>
          <cell r="G12" t="str">
            <v>Район: Анапский \ Подъезд  к х. Цибанобалка  км 0+000-2+081 \ Поверхностная обработка (II вариант)</v>
          </cell>
          <cell r="H12">
            <v>36982</v>
          </cell>
          <cell r="I12">
            <v>37165</v>
          </cell>
          <cell r="J12">
            <v>37072</v>
          </cell>
        </row>
        <row r="13">
          <cell r="A13">
            <v>11</v>
          </cell>
          <cell r="C13" t="str">
            <v>Анапский</v>
          </cell>
          <cell r="D13" t="str">
            <v>Юровка - Раевская - Волчьи Ворота ;  км: 13+375-18+675</v>
          </cell>
          <cell r="F13" t="str">
            <v>Уширение земполотна и проезжей части (комплекс)</v>
          </cell>
          <cell r="G13" t="str">
            <v>Район: Анапский \ Юровка - Раевская - Волчьи Ворота ;  км: 13+375-18+675 \ Уширение земполотна и проезжей части (комплекс)</v>
          </cell>
          <cell r="H13">
            <v>36982</v>
          </cell>
          <cell r="I13">
            <v>37165</v>
          </cell>
          <cell r="J13">
            <v>37072</v>
          </cell>
        </row>
        <row r="14">
          <cell r="A14">
            <v>12</v>
          </cell>
          <cell r="C14" t="str">
            <v>Апшеронский</v>
          </cell>
          <cell r="D14" t="str">
            <v>Кубанская - Саратовская ;  км: 10+000-12+500</v>
          </cell>
          <cell r="F14" t="str">
            <v>Поверхностная обработка (II вариант)</v>
          </cell>
          <cell r="G14" t="str">
            <v>Район: Апшеронский \ Кубанская - Саратовская ;  км: 10+000-12+500 \ Поверхностная обработка (II вариант)</v>
          </cell>
          <cell r="H14">
            <v>36982</v>
          </cell>
          <cell r="I14">
            <v>37165</v>
          </cell>
          <cell r="J14">
            <v>37072</v>
          </cell>
        </row>
        <row r="15">
          <cell r="A15">
            <v>13</v>
          </cell>
          <cell r="C15" t="str">
            <v>Апшеронский</v>
          </cell>
          <cell r="D15" t="str">
            <v>Апшеронск-Ширванская ;  км: 5+300-12+300</v>
          </cell>
          <cell r="F15" t="str">
            <v>Поверхностная обработка (II вариант)</v>
          </cell>
          <cell r="G15" t="str">
            <v>Район: Апшеронский \ Апшеронск-Ширванская ;  км: 5+300-12+300 \ Поверхностная обработка (II вариант)</v>
          </cell>
          <cell r="H15">
            <v>36982</v>
          </cell>
          <cell r="I15">
            <v>37165</v>
          </cell>
          <cell r="J15">
            <v>37072</v>
          </cell>
        </row>
        <row r="16">
          <cell r="A16">
            <v>14</v>
          </cell>
          <cell r="C16" t="str">
            <v>Апшеронский</v>
          </cell>
          <cell r="D16" t="str">
            <v>Майкоп - Туапсе ;  км: 164+300-165+000</v>
          </cell>
          <cell r="F16" t="str">
            <v>Поверхностная обработка (II вариант)</v>
          </cell>
          <cell r="G16" t="str">
            <v>Район: Апшеронский \ Майкоп - Туапсе ;  км: 164+300-165+000 \ Поверхностная обработка (II вариант)</v>
          </cell>
          <cell r="H16">
            <v>36982</v>
          </cell>
          <cell r="I16">
            <v>37165</v>
          </cell>
          <cell r="J16">
            <v>37072</v>
          </cell>
        </row>
        <row r="17">
          <cell r="A17">
            <v>15</v>
          </cell>
          <cell r="C17" t="str">
            <v>Апшеронский</v>
          </cell>
          <cell r="D17" t="str">
            <v>Майкоп - Туапсе ;  км: 173+000-180+000</v>
          </cell>
          <cell r="F17" t="str">
            <v>Поверхностная обработка (II вариант)</v>
          </cell>
          <cell r="G17" t="str">
            <v>Район: Апшеронский \ Майкоп - Туапсе ;  км: 173+000-180+000 \ Поверхностная обработка (II вариант)</v>
          </cell>
          <cell r="H17">
            <v>36982</v>
          </cell>
          <cell r="I17">
            <v>37165</v>
          </cell>
          <cell r="J17">
            <v>37072</v>
          </cell>
        </row>
        <row r="18">
          <cell r="A18">
            <v>16</v>
          </cell>
          <cell r="C18" t="str">
            <v>Апшеронский</v>
          </cell>
          <cell r="D18" t="str">
            <v>Подъезд к АБЗ ;  км: 0+000-1+200</v>
          </cell>
          <cell r="F18" t="str">
            <v>Поверхностная обработка (II вариант)</v>
          </cell>
          <cell r="G18" t="str">
            <v>Район: Апшеронский \ Подъезд к АБЗ ;  км: 0+000-1+200 \ Поверхностная обработка (II вариант)</v>
          </cell>
          <cell r="H18">
            <v>36982</v>
          </cell>
          <cell r="I18">
            <v>37165</v>
          </cell>
          <cell r="J18">
            <v>37072</v>
          </cell>
        </row>
        <row r="19">
          <cell r="A19">
            <v>17</v>
          </cell>
          <cell r="C19" t="str">
            <v>Апшеронский</v>
          </cell>
          <cell r="D19" t="str">
            <v>Кубанская - Саратовская ;  км: 12+500-16+300</v>
          </cell>
          <cell r="F19" t="str">
            <v>Поверхностная обработка (II вариант)</v>
          </cell>
          <cell r="G19" t="str">
            <v>Район: Апшеронский \ Кубанская - Саратовская ;  км: 12+500-16+300 \ Поверхностная обработка (II вариант)</v>
          </cell>
          <cell r="H19">
            <v>36982</v>
          </cell>
          <cell r="I19">
            <v>37165</v>
          </cell>
          <cell r="J19">
            <v>37072</v>
          </cell>
        </row>
        <row r="20">
          <cell r="A20">
            <v>18</v>
          </cell>
          <cell r="C20" t="str">
            <v>Апшеронский</v>
          </cell>
          <cell r="D20" t="str">
            <v>Кубанская - Саратовская ;  км: 7+000-10+000</v>
          </cell>
          <cell r="F20" t="str">
            <v>Облегченный ремонт - III вариант</v>
          </cell>
          <cell r="G20" t="str">
            <v>Район: Апшеронский \ Кубанская - Саратовская ;  км: 7+000-10+000 \ Облегченный ремонт - III вариант</v>
          </cell>
          <cell r="H20">
            <v>36982</v>
          </cell>
          <cell r="I20">
            <v>37165</v>
          </cell>
          <cell r="J20">
            <v>37072</v>
          </cell>
        </row>
        <row r="21">
          <cell r="A21">
            <v>19</v>
          </cell>
          <cell r="C21" t="str">
            <v>Апшеронский</v>
          </cell>
          <cell r="D21" t="str">
            <v>Горячий Ключ - Хадыженск ;  км: 39+000-45+500 (на участке 43+500-45+500)</v>
          </cell>
          <cell r="F21" t="str">
            <v>Капитальный ремонт с усилением дорожной одежды</v>
          </cell>
          <cell r="G21" t="str">
            <v>Район: Апшеронский \ Горячий Ключ - Хадыженск ;  км: 39+000-45+500 (на участке 43+500-45+500) \ Капитальный ремонт с усилением дорожной одежды</v>
          </cell>
          <cell r="H21">
            <v>36982</v>
          </cell>
          <cell r="I21">
            <v>37165</v>
          </cell>
          <cell r="J21">
            <v>37072</v>
          </cell>
        </row>
        <row r="22">
          <cell r="A22">
            <v>20</v>
          </cell>
          <cell r="C22" t="str">
            <v>Белоглинский</v>
          </cell>
          <cell r="D22" t="str">
            <v>Центральный - а/д "Ростов-Ставрополь" ;  км: 12+080-17+378</v>
          </cell>
          <cell r="F22" t="str">
            <v>Поверхностная обработка (II вариант)</v>
          </cell>
          <cell r="G22" t="str">
            <v>Район: Белоглинский \ Центральный - а/д "Ростов-Ставрополь" ;  км: 12+080-17+378 \ Поверхностная обработка (II вариант)</v>
          </cell>
          <cell r="H22">
            <v>36982</v>
          </cell>
          <cell r="I22">
            <v>37165</v>
          </cell>
          <cell r="J22">
            <v>37072</v>
          </cell>
        </row>
        <row r="23">
          <cell r="A23">
            <v>21</v>
          </cell>
          <cell r="C23" t="str">
            <v>Белоглинский</v>
          </cell>
          <cell r="D23" t="str">
            <v>Новопавловка-Кулешовка ;  км: 2+500-4+000</v>
          </cell>
          <cell r="F23" t="str">
            <v>Поверхностная обработка (II вариант)</v>
          </cell>
          <cell r="G23" t="str">
            <v>Район: Белоглинский \ Новопавловка-Кулешовка ;  км: 2+500-4+000 \ Поверхностная обработка (II вариант)</v>
          </cell>
          <cell r="H23">
            <v>36982</v>
          </cell>
          <cell r="I23">
            <v>37165</v>
          </cell>
          <cell r="J23">
            <v>37072</v>
          </cell>
        </row>
        <row r="24">
          <cell r="A24">
            <v>22</v>
          </cell>
          <cell r="C24" t="str">
            <v>Белоглинский</v>
          </cell>
          <cell r="D24" t="str">
            <v>Селекционный-Семеноводческий ;  км: 0+000-6+000</v>
          </cell>
          <cell r="F24" t="str">
            <v>Поверхностная обработка (II вариант)</v>
          </cell>
          <cell r="G24" t="str">
            <v>Район: Белоглинский \ Селекционный-Семеноводческий ;  км: 0+000-6+000 \ Поверхностная обработка (II вариант)</v>
          </cell>
          <cell r="H24">
            <v>36982</v>
          </cell>
          <cell r="I24">
            <v>37165</v>
          </cell>
          <cell r="J24">
            <v>37072</v>
          </cell>
        </row>
        <row r="25">
          <cell r="A25">
            <v>23</v>
          </cell>
          <cell r="C25" t="str">
            <v>Белоглинский</v>
          </cell>
          <cell r="D25" t="str">
            <v>Сальск - Тихорецк ;  км: 4+715-11+915</v>
          </cell>
          <cell r="F25" t="str">
            <v>Поверхностная обработка (II вариант)</v>
          </cell>
          <cell r="G25" t="str">
            <v>Район: Белоглинский \ Сальск - Тихорецк ;  км: 4+715-11+915 \ Поверхностная обработка (II вариант)</v>
          </cell>
          <cell r="H25">
            <v>36982</v>
          </cell>
          <cell r="I25">
            <v>37165</v>
          </cell>
          <cell r="J25">
            <v>37072</v>
          </cell>
        </row>
        <row r="26">
          <cell r="A26">
            <v>24</v>
          </cell>
          <cell r="C26" t="str">
            <v>Белоглинский</v>
          </cell>
          <cell r="D26" t="str">
            <v>Новопавловка - Кулешовка ;  км: 8+000-10+900</v>
          </cell>
          <cell r="F26" t="str">
            <v>Облегченный ремонт - III вариант</v>
          </cell>
          <cell r="G26" t="str">
            <v>Район: Белоглинский \ Новопавловка - Кулешовка ;  км: 8+000-10+900 \ Облегченный ремонт - III вариант</v>
          </cell>
          <cell r="H26">
            <v>36982</v>
          </cell>
          <cell r="I26">
            <v>37165</v>
          </cell>
          <cell r="J26">
            <v>37072</v>
          </cell>
        </row>
        <row r="27">
          <cell r="A27">
            <v>25</v>
          </cell>
          <cell r="C27" t="str">
            <v>Белореченский</v>
          </cell>
          <cell r="D27" t="str">
            <v>Гурийская - Черниговская - Рязанская ;  км: 32+900-37+600</v>
          </cell>
          <cell r="F27" t="str">
            <v>Поверхностная обработка (II вариант)</v>
          </cell>
          <cell r="G27" t="str">
            <v>Район: Белореченский \ Гурийская - Черниговская - Рязанская ;  км: 32+900-37+600 \ Поверхностная обработка (II вариант)</v>
          </cell>
          <cell r="H27">
            <v>36982</v>
          </cell>
          <cell r="I27">
            <v>37165</v>
          </cell>
          <cell r="J27">
            <v>37072</v>
          </cell>
        </row>
        <row r="28">
          <cell r="A28">
            <v>26</v>
          </cell>
          <cell r="C28" t="str">
            <v>Белореченский</v>
          </cell>
          <cell r="D28" t="str">
            <v>Белореченск - Апшеронск ;  км: 11+000-16+200</v>
          </cell>
          <cell r="F28" t="str">
            <v>Облегченный ремонт - III вариант</v>
          </cell>
          <cell r="G28" t="str">
            <v>Район: Белореченский \ Белореченск - Апшеронск ;  км: 11+000-16+200 \ Облегченный ремонт - III вариант</v>
          </cell>
          <cell r="H28">
            <v>36982</v>
          </cell>
          <cell r="I28">
            <v>37165</v>
          </cell>
          <cell r="J28">
            <v>37072</v>
          </cell>
        </row>
        <row r="29">
          <cell r="A29">
            <v>27</v>
          </cell>
          <cell r="C29" t="str">
            <v>Брюховецкий</v>
          </cell>
          <cell r="D29" t="str">
            <v>Новоджерилиевская - Брюховецкая - Батуринская ;  км: 22+000-37+000</v>
          </cell>
          <cell r="F29" t="str">
            <v>Поверхностная обработка (II вариант)</v>
          </cell>
          <cell r="G29" t="str">
            <v>Район: Брюховецкий \ Новоджерилиевская - Брюховецкая - Батуринская ;  км: 22+000-37+000 \ Поверхностная обработка (II вариант)</v>
          </cell>
          <cell r="H29">
            <v>36982</v>
          </cell>
          <cell r="I29">
            <v>37165</v>
          </cell>
          <cell r="J29">
            <v>37072</v>
          </cell>
        </row>
        <row r="30">
          <cell r="A30">
            <v>28</v>
          </cell>
          <cell r="C30" t="str">
            <v>Брюховецкий</v>
          </cell>
          <cell r="D30" t="str">
            <v>Батуринское-Новое Село ;  км: 4+000-20+000 (на участке с 12+000-16+000)</v>
          </cell>
          <cell r="F30" t="str">
            <v>Капитальный ремонт с усилением дорожной одежды</v>
          </cell>
          <cell r="G30" t="str">
            <v>Район: Брюховецкий \ Батуринское-Новое Село ;  км: 4+000-20+000 (на участке с 12+000-16+000) \ Капитальный ремонт с усилением дорожной одежды</v>
          </cell>
          <cell r="H30">
            <v>36982</v>
          </cell>
          <cell r="I30">
            <v>37165</v>
          </cell>
          <cell r="J30">
            <v>37072</v>
          </cell>
        </row>
        <row r="31">
          <cell r="A31">
            <v>29</v>
          </cell>
          <cell r="C31" t="str">
            <v>Выселковский</v>
          </cell>
          <cell r="D31" t="str">
            <v>Журавская - Тихорецк ;  км: 42+000-47+830</v>
          </cell>
          <cell r="F31" t="str">
            <v>Поверхностная обработка (II вариант)</v>
          </cell>
          <cell r="G31" t="str">
            <v>Район: Выселковский \ Журавская - Тихорецк ;  км: 42+000-47+830 \ Поверхностная обработка (II вариант)</v>
          </cell>
          <cell r="H31">
            <v>36982</v>
          </cell>
          <cell r="I31">
            <v>37165</v>
          </cell>
          <cell r="J31">
            <v>37072</v>
          </cell>
        </row>
        <row r="32">
          <cell r="A32">
            <v>30</v>
          </cell>
          <cell r="C32" t="str">
            <v>Выселковский</v>
          </cell>
          <cell r="D32" t="str">
            <v>Бейсуг - Новомалороссийская - Новогражданская ;  км: 13+000-15+000 ; 18+000-22+830</v>
          </cell>
          <cell r="F32" t="str">
            <v>Поверхностная обработка (II вариант)</v>
          </cell>
          <cell r="G32" t="str">
            <v>Район: Выселковский \ Бейсуг - Новомалороссийская - Новогражданская ;  км: 13+000-15+000 ; 18+000-22+830 \ Поверхностная обработка (II вариант)</v>
          </cell>
          <cell r="H32">
            <v>36982</v>
          </cell>
          <cell r="I32">
            <v>37165</v>
          </cell>
          <cell r="J32">
            <v>37072</v>
          </cell>
        </row>
        <row r="33">
          <cell r="A33">
            <v>31</v>
          </cell>
          <cell r="C33" t="str">
            <v>Выселковский</v>
          </cell>
          <cell r="D33" t="str">
            <v>Выселки - Новобейсугская ;  км: 21+000-28+556</v>
          </cell>
          <cell r="F33" t="str">
            <v>Поверхностная обработка (II вариант)</v>
          </cell>
          <cell r="G33" t="str">
            <v>Район: Выселковский \ Выселки - Новобейсугская ;  км: 21+000-28+556 \ Поверхностная обработка (II вариант)</v>
          </cell>
          <cell r="H33">
            <v>36982</v>
          </cell>
          <cell r="I33">
            <v>37165</v>
          </cell>
          <cell r="J33">
            <v>37072</v>
          </cell>
        </row>
        <row r="34">
          <cell r="A34">
            <v>32</v>
          </cell>
          <cell r="C34" t="str">
            <v>г.Геленджик</v>
          </cell>
          <cell r="D34" t="str">
            <v>Подъезд к а.Широкая Щель ;  км: 0+000-2+280</v>
          </cell>
          <cell r="F34" t="str">
            <v>Поверхностная обработка (I вариант)</v>
          </cell>
          <cell r="G34" t="str">
            <v>Район: г.Геленджик \ Подъезд к а.Широкая Щель ;  км: 0+000-2+280 \ Поверхностная обработка (I вариант)</v>
          </cell>
          <cell r="H34">
            <v>36982</v>
          </cell>
          <cell r="I34">
            <v>37165</v>
          </cell>
          <cell r="J34">
            <v>37072</v>
          </cell>
        </row>
        <row r="35">
          <cell r="A35">
            <v>33</v>
          </cell>
          <cell r="C35" t="str">
            <v>г.Геленджик</v>
          </cell>
          <cell r="D35" t="str">
            <v>Подъезд к с.Марьина Роща км 0+000-1+655</v>
          </cell>
          <cell r="F35" t="str">
            <v>Поверхностная обработка (I вариант)</v>
          </cell>
          <cell r="G35" t="str">
            <v>Район: г.Геленджик \ Подъезд к с.Марьина Роща км 0+000-1+655 \ Поверхностная обработка (I вариант)</v>
          </cell>
          <cell r="H35">
            <v>36982</v>
          </cell>
          <cell r="I35">
            <v>37165</v>
          </cell>
          <cell r="J35">
            <v>37072</v>
          </cell>
        </row>
        <row r="36">
          <cell r="A36">
            <v>34</v>
          </cell>
          <cell r="C36" t="str">
            <v>г.Геленджик</v>
          </cell>
          <cell r="D36" t="str">
            <v>Джанхот - Прасковеевка ;  км: 0+000-12+400 (на участке 0+000-4+000)</v>
          </cell>
          <cell r="F36" t="str">
            <v>Перевод гравийных и щебеночных дорог в а/б с пов.обр</v>
          </cell>
          <cell r="G36" t="str">
            <v>Район: г.Геленджик \ Джанхот - Прасковеевка ;  км: 0+000-12+400 (на участке 0+000-4+000) \ Перевод гравийных и щебеночных дорог в а/б с пов.обр</v>
          </cell>
          <cell r="H36">
            <v>36982</v>
          </cell>
          <cell r="I36">
            <v>37165</v>
          </cell>
          <cell r="J36">
            <v>37072</v>
          </cell>
        </row>
        <row r="37">
          <cell r="A37">
            <v>35</v>
          </cell>
          <cell r="C37" t="str">
            <v>г.Геленджик</v>
          </cell>
          <cell r="D37" t="str">
            <v>Подъезд к а.Широкая Щель ;  км: 2+280</v>
          </cell>
          <cell r="F37" t="str">
            <v>Устройство площадок для стоянки и остановки а/м</v>
          </cell>
          <cell r="G37" t="str">
            <v>Район: г.Геленджик \ Подъезд к а.Широкая Щель ;  км: 2+280 \ Устройство площадок для стоянки и остановки а/м</v>
          </cell>
          <cell r="H37">
            <v>36982</v>
          </cell>
          <cell r="I37">
            <v>37165</v>
          </cell>
          <cell r="J37">
            <v>37072</v>
          </cell>
        </row>
        <row r="38">
          <cell r="A38">
            <v>36</v>
          </cell>
          <cell r="C38" t="str">
            <v>г.Геленджик</v>
          </cell>
          <cell r="D38" t="str">
            <v>Подъезд к с.Марьина Роща км 0+800</v>
          </cell>
          <cell r="F38" t="str">
            <v>Устройство остановочных площадок</v>
          </cell>
          <cell r="G38" t="str">
            <v>Район: г.Геленджик \ Подъезд к с.Марьина Роща км 0+800 \ Устройство остановочных площадок</v>
          </cell>
          <cell r="H38">
            <v>36982</v>
          </cell>
          <cell r="I38">
            <v>37165</v>
          </cell>
          <cell r="J38">
            <v>37072</v>
          </cell>
        </row>
        <row r="39">
          <cell r="A39">
            <v>37</v>
          </cell>
          <cell r="C39" t="str">
            <v>г.Геленджик</v>
          </cell>
          <cell r="D39" t="str">
            <v>Магистраль "Дон" - Джанхот ;  км:0+020, 2+645,5+777</v>
          </cell>
          <cell r="F39" t="str">
            <v>Ремонт остановочных площадок</v>
          </cell>
          <cell r="G39" t="str">
            <v>Район: г.Геленджик \ Магистраль "Дон" - Джанхот ;  км:0+020, 2+645,5+777 \ Ремонт остановочных площадок</v>
          </cell>
          <cell r="H39">
            <v>36982</v>
          </cell>
          <cell r="I39">
            <v>37165</v>
          </cell>
          <cell r="J39">
            <v>37072</v>
          </cell>
        </row>
        <row r="40">
          <cell r="A40">
            <v>38</v>
          </cell>
          <cell r="C40" t="str">
            <v>г.Горячий Ключ</v>
          </cell>
          <cell r="D40" t="str">
            <v>Саратовская - Мартанская ;  км: 0+000-19+900 (на участке 0+000-9+000)</v>
          </cell>
          <cell r="F40" t="str">
            <v>Поверхностная обработка (II вариант)</v>
          </cell>
          <cell r="G40" t="str">
            <v>Район: г.Горячий Ключ \ Саратовская - Мартанская ;  км: 0+000-19+900 (на участке 0+000-9+000) \ Поверхностная обработка (II вариант)</v>
          </cell>
          <cell r="H40">
            <v>36982</v>
          </cell>
          <cell r="I40">
            <v>37165</v>
          </cell>
          <cell r="J40">
            <v>37072</v>
          </cell>
        </row>
        <row r="41">
          <cell r="A41">
            <v>39</v>
          </cell>
          <cell r="C41" t="str">
            <v>г.Горячий Ключ</v>
          </cell>
          <cell r="D41" t="str">
            <v>Саратовская - Горячий Ключ ;  км: 0+000-15+500 (на участке 1+000-5+000)</v>
          </cell>
          <cell r="F41" t="str">
            <v>Поверхностная обработка (II вариант)</v>
          </cell>
          <cell r="G41" t="str">
            <v>Район: г.Горячий Ключ \ Саратовская - Горячий Ключ ;  км: 0+000-15+500 (на участке 1+000-5+000) \ Поверхностная обработка (II вариант)</v>
          </cell>
          <cell r="H41">
            <v>36982</v>
          </cell>
          <cell r="I41">
            <v>37165</v>
          </cell>
          <cell r="J41">
            <v>37072</v>
          </cell>
        </row>
        <row r="42">
          <cell r="A42">
            <v>40</v>
          </cell>
          <cell r="C42" t="str">
            <v>г.Горячий Ключ</v>
          </cell>
          <cell r="D42" t="str">
            <v>Горячий Ключ - Хадыженск ;  км: 20+700-25+500 (на участке 22+700-23+700)</v>
          </cell>
          <cell r="F42" t="str">
            <v>Уширение земполотна и проезжей части (комплекс)</v>
          </cell>
          <cell r="G42" t="str">
            <v>Район: г.Горячий Ключ \ Горячий Ключ - Хадыженск ;  км: 20+700-25+500 (на участке 22+700-23+700) \ Уширение земполотна и проезжей части (комплекс)</v>
          </cell>
          <cell r="H42">
            <v>36982</v>
          </cell>
          <cell r="I42">
            <v>37165</v>
          </cell>
          <cell r="J42">
            <v>37072</v>
          </cell>
        </row>
        <row r="43">
          <cell r="A43">
            <v>41</v>
          </cell>
          <cell r="C43" t="str">
            <v>г.Горячий Ключ</v>
          </cell>
          <cell r="D43" t="str">
            <v>Горячий Ключ - Хадыженск ;  км: 6+200 ; 13+100</v>
          </cell>
          <cell r="F43" t="str">
            <v>Устройство автопавильонов</v>
          </cell>
          <cell r="G43" t="str">
            <v>Район: г.Горячий Ключ \ Горячий Ключ - Хадыженск ;  км: 6+200 ; 13+100 \ Устройство автопавильонов</v>
          </cell>
          <cell r="H43">
            <v>36982</v>
          </cell>
          <cell r="I43">
            <v>37165</v>
          </cell>
          <cell r="J43">
            <v>37072</v>
          </cell>
        </row>
        <row r="44">
          <cell r="A44">
            <v>42</v>
          </cell>
          <cell r="C44" t="str">
            <v>г.Горячий Ключ</v>
          </cell>
          <cell r="D44" t="str">
            <v>Саратовская - Мартанская ;  км: 1+900; 20+100</v>
          </cell>
          <cell r="F44" t="str">
            <v>Устройство автопавильонов</v>
          </cell>
          <cell r="G44" t="str">
            <v>Район: г.Горячий Ключ \ Саратовская - Мартанская ;  км: 1+900; 20+100 \ Устройство автопавильонов</v>
          </cell>
          <cell r="H44">
            <v>36982</v>
          </cell>
          <cell r="I44">
            <v>37165</v>
          </cell>
          <cell r="J44">
            <v>37072</v>
          </cell>
        </row>
        <row r="45">
          <cell r="A45">
            <v>43</v>
          </cell>
          <cell r="C45" t="str">
            <v>г.Краснодар</v>
          </cell>
          <cell r="D45" t="str">
            <v>Темрюк - Краснодар - Кропоткин ;  км: 163+000-164+200 ; 165+200-168+000 ; 171+000-176+000 ; 178+000-180+000</v>
          </cell>
          <cell r="F45" t="str">
            <v>Поверхностная обработка (II вариант)</v>
          </cell>
          <cell r="G45" t="str">
            <v>Район: г.Краснодар \ Темрюк - Краснодар - Кропоткин ;  км: 163+000-164+200 ; 165+200-168+000 ; 171+000-176+000 ; 178+000-180+000 \ Поверхностная обработка (II вариант)</v>
          </cell>
          <cell r="H45">
            <v>36982</v>
          </cell>
          <cell r="I45">
            <v>37165</v>
          </cell>
          <cell r="J45">
            <v>37072</v>
          </cell>
        </row>
        <row r="46">
          <cell r="A46">
            <v>44</v>
          </cell>
          <cell r="C46" t="str">
            <v>г.Краснодар</v>
          </cell>
          <cell r="D46" t="str">
            <v>Подъезд к п.Пригородный ;  км: 3+000-6+800</v>
          </cell>
          <cell r="F46" t="str">
            <v>Поверхностная обработка (II вариант)</v>
          </cell>
          <cell r="G46" t="str">
            <v>Район: г.Краснодар \ Подъезд к п.Пригородный ;  км: 3+000-6+800 \ Поверхностная обработка (II вариант)</v>
          </cell>
          <cell r="H46">
            <v>36982</v>
          </cell>
          <cell r="I46">
            <v>37165</v>
          </cell>
          <cell r="J46">
            <v>37072</v>
          </cell>
        </row>
        <row r="47">
          <cell r="A47">
            <v>45</v>
          </cell>
          <cell r="C47" t="str">
            <v>г.Краснодар</v>
          </cell>
          <cell r="D47" t="str">
            <v>ОПХ Центральное-Витаминкомбинат ;  км: 0+000-5+630</v>
          </cell>
          <cell r="F47" t="str">
            <v>Поверхностная обработка (II вариант)</v>
          </cell>
          <cell r="G47" t="str">
            <v>Район: г.Краснодар \ ОПХ Центральное-Витаминкомбинат ;  км: 0+000-5+630 \ Поверхностная обработка (II вариант)</v>
          </cell>
          <cell r="H47">
            <v>36982</v>
          </cell>
          <cell r="I47">
            <v>37165</v>
          </cell>
          <cell r="J47">
            <v>37072</v>
          </cell>
        </row>
        <row r="48">
          <cell r="A48">
            <v>46</v>
          </cell>
          <cell r="C48" t="str">
            <v>г.Краснодар</v>
          </cell>
          <cell r="D48" t="str">
            <v>Подъезд к п.Дружелюбный ;  км: 0+000-4+000</v>
          </cell>
          <cell r="F48" t="str">
            <v>Поверхностная обработка (II вариант)</v>
          </cell>
          <cell r="G48" t="str">
            <v>Район: г.Краснодар \ Подъезд к п.Дружелюбный ;  км: 0+000-4+000 \ Поверхностная обработка (II вариант)</v>
          </cell>
          <cell r="H48">
            <v>36982</v>
          </cell>
          <cell r="I48">
            <v>37165</v>
          </cell>
          <cell r="J48">
            <v>37072</v>
          </cell>
        </row>
        <row r="49">
          <cell r="A49">
            <v>47</v>
          </cell>
          <cell r="C49" t="str">
            <v>г.Краснодар</v>
          </cell>
          <cell r="D49" t="str">
            <v>Солнечный - Лекраспром ;  км: 0+000-2+000</v>
          </cell>
          <cell r="F49" t="str">
            <v>Поверхностная обработка (II вариант)</v>
          </cell>
          <cell r="G49" t="str">
            <v>Район: г.Краснодар \ Солнечный - Лекраспром ;  км: 0+000-2+000 \ Поверхностная обработка (II вариант)</v>
          </cell>
          <cell r="H49">
            <v>36982</v>
          </cell>
          <cell r="I49">
            <v>37165</v>
          </cell>
          <cell r="J49">
            <v>37072</v>
          </cell>
        </row>
        <row r="50">
          <cell r="A50">
            <v>48</v>
          </cell>
          <cell r="C50" t="str">
            <v>г.Краснодар</v>
          </cell>
          <cell r="D50" t="str">
            <v>Солнечный - Лекраспром ;  км: 6+500 ; 20+000</v>
          </cell>
          <cell r="F50" t="str">
            <v>Устройство автопавильонов</v>
          </cell>
          <cell r="G50" t="str">
            <v>Район: г.Краснодар \ Солнечный - Лекраспром ;  км: 6+500 ; 20+000 \ Устройство автопавильонов</v>
          </cell>
          <cell r="H50">
            <v>36982</v>
          </cell>
          <cell r="I50">
            <v>37165</v>
          </cell>
          <cell r="J50">
            <v>37072</v>
          </cell>
        </row>
        <row r="51">
          <cell r="A51">
            <v>49</v>
          </cell>
          <cell r="C51" t="str">
            <v>г.Краснодар</v>
          </cell>
          <cell r="D51" t="str">
            <v>Солнечный - Лекраспром ;  км: 0+700</v>
          </cell>
          <cell r="F51" t="str">
            <v>Устройство автопавильонов</v>
          </cell>
          <cell r="G51" t="str">
            <v>Район: г.Краснодар \ Солнечный - Лекраспром ;  км: 0+700 \ Устройство автопавильонов</v>
          </cell>
          <cell r="H51">
            <v>36982</v>
          </cell>
          <cell r="I51">
            <v>37165</v>
          </cell>
          <cell r="J51">
            <v>37072</v>
          </cell>
        </row>
        <row r="52">
          <cell r="A52">
            <v>50</v>
          </cell>
          <cell r="C52" t="str">
            <v>г.Краснодар</v>
          </cell>
          <cell r="D52" t="str">
            <v>ОПХ Центральное-Витаминкомбинат ;  км: 3+500-5+600</v>
          </cell>
          <cell r="F52" t="str">
            <v>Устройство тротуаров и пешеходных дорожек</v>
          </cell>
          <cell r="G52" t="str">
            <v>Район: г.Краснодар \ ОПХ Центральное-Витаминкомбинат ;  км: 3+500-5+600 \ Устройство тротуаров и пешеходных дорожек</v>
          </cell>
          <cell r="H52">
            <v>36982</v>
          </cell>
          <cell r="I52">
            <v>37165</v>
          </cell>
          <cell r="J52">
            <v>37072</v>
          </cell>
        </row>
        <row r="53">
          <cell r="A53">
            <v>51</v>
          </cell>
          <cell r="C53" t="str">
            <v>г.Краснодар</v>
          </cell>
          <cell r="D53" t="str">
            <v>Подъезд к  п.Северный ;  км: 0+000-1+000</v>
          </cell>
          <cell r="F53" t="str">
            <v>Устройство тротуаров и пешеходных дорожек</v>
          </cell>
          <cell r="G53" t="str">
            <v>Район: г.Краснодар \ Подъезд к  п.Северный ;  км: 0+000-1+000 \ Устройство тротуаров и пешеходных дорожек</v>
          </cell>
          <cell r="H53">
            <v>36982</v>
          </cell>
          <cell r="I53">
            <v>37165</v>
          </cell>
          <cell r="J53">
            <v>37072</v>
          </cell>
        </row>
        <row r="54">
          <cell r="A54">
            <v>52</v>
          </cell>
          <cell r="C54" t="str">
            <v>г.Лабинск</v>
          </cell>
          <cell r="D54" t="str">
            <v>Подъезд к ст.Чамлыкская ;  км: 1+600-3+351</v>
          </cell>
          <cell r="F54" t="str">
            <v>Поверхностная обработка (II вариант)</v>
          </cell>
          <cell r="G54" t="str">
            <v>Район: г.Лабинск \ Подъезд к ст.Чамлыкская ;  км: 1+600-3+351 \ Поверхностная обработка (II вариант)</v>
          </cell>
          <cell r="H54">
            <v>36982</v>
          </cell>
          <cell r="I54">
            <v>37165</v>
          </cell>
          <cell r="J54">
            <v>37072</v>
          </cell>
        </row>
        <row r="55">
          <cell r="A55">
            <v>53</v>
          </cell>
          <cell r="C55" t="str">
            <v>г.Лабинск</v>
          </cell>
          <cell r="D55" t="str">
            <v>Лабинск - Ахметовская ;  км: 8+000-18+000</v>
          </cell>
          <cell r="F55" t="str">
            <v>Поверхностная обработка (II вариант)</v>
          </cell>
          <cell r="G55" t="str">
            <v>Район: г.Лабинск \ Лабинск - Ахметовская ;  км: 8+000-18+000 \ Поверхностная обработка (II вариант)</v>
          </cell>
          <cell r="H55">
            <v>36982</v>
          </cell>
          <cell r="I55">
            <v>37165</v>
          </cell>
          <cell r="J55">
            <v>37072</v>
          </cell>
        </row>
        <row r="56">
          <cell r="A56">
            <v>54</v>
          </cell>
          <cell r="C56" t="str">
            <v>г.Лабинск</v>
          </cell>
          <cell r="D56" t="str">
            <v>Владимирская - Веселый ;  км: 0+000-5+000</v>
          </cell>
          <cell r="F56" t="str">
            <v>Поверхностная обработка (II вариант)</v>
          </cell>
          <cell r="G56" t="str">
            <v>Район: г.Лабинск \ Владимирская - Веселый ;  км: 0+000-5+000 \ Поверхностная обработка (II вариант)</v>
          </cell>
          <cell r="H56">
            <v>36982</v>
          </cell>
          <cell r="I56">
            <v>37165</v>
          </cell>
          <cell r="J56">
            <v>37072</v>
          </cell>
        </row>
        <row r="57">
          <cell r="A57">
            <v>55</v>
          </cell>
          <cell r="C57" t="str">
            <v>г.Лабинск</v>
          </cell>
          <cell r="D57" t="str">
            <v>Владимирская - Веселый ;  км: 12+600-14+100</v>
          </cell>
          <cell r="F57" t="str">
            <v>Перевод гравийных и щебеночных дорог в а/б с пов.обр</v>
          </cell>
          <cell r="G57" t="str">
            <v>Район: г.Лабинск \ Владимирская - Веселый ;  км: 12+600-14+100 \ Перевод гравийных и щебеночных дорог в а/б с пов.обр</v>
          </cell>
          <cell r="H57">
            <v>36982</v>
          </cell>
          <cell r="I57">
            <v>37165</v>
          </cell>
          <cell r="J57">
            <v>37072</v>
          </cell>
        </row>
        <row r="58">
          <cell r="A58">
            <v>56</v>
          </cell>
          <cell r="C58" t="str">
            <v>г.Лабинск</v>
          </cell>
          <cell r="D58" t="str">
            <v>Вознесенская - Харьковский ;  км: 0+000-6+600 (на участке 0+000-3+000)</v>
          </cell>
          <cell r="F58" t="str">
            <v>Комплексный ремонт</v>
          </cell>
          <cell r="G58" t="str">
            <v>Район: г.Лабинск \ Вознесенская - Харьковский ;  км: 0+000-6+600 (на участке 0+000-3+000) \ Комплексный ремонт</v>
          </cell>
          <cell r="H58">
            <v>36982</v>
          </cell>
          <cell r="I58">
            <v>37165</v>
          </cell>
          <cell r="J58">
            <v>37072</v>
          </cell>
        </row>
        <row r="59">
          <cell r="A59">
            <v>57</v>
          </cell>
          <cell r="C59" t="str">
            <v>г.Лабинск</v>
          </cell>
          <cell r="D59" t="str">
            <v>Лабинск - Ахметовская ;  км: 49+000-54+000</v>
          </cell>
          <cell r="F59" t="str">
            <v>Облегченный ремонт - III вариант</v>
          </cell>
          <cell r="G59" t="str">
            <v>Район: г.Лабинск \ Лабинск - Ахметовская ;  км: 49+000-54+000 \ Облегченный ремонт - III вариант</v>
          </cell>
          <cell r="H59">
            <v>36982</v>
          </cell>
          <cell r="I59">
            <v>37165</v>
          </cell>
          <cell r="J59">
            <v>37072</v>
          </cell>
        </row>
        <row r="60">
          <cell r="A60">
            <v>58</v>
          </cell>
          <cell r="C60" t="str">
            <v>г.Лабинск</v>
          </cell>
          <cell r="D60" t="str">
            <v>Вознесенская - Первая Синюха ;  км: 14+000-16+800</v>
          </cell>
          <cell r="F60" t="str">
            <v>Облегченный ремонт - III вариант</v>
          </cell>
          <cell r="G60" t="str">
            <v>Район: г.Лабинск \ Вознесенская - Первая Синюха ;  км: 14+000-16+800 \ Облегченный ремонт - III вариант</v>
          </cell>
          <cell r="H60">
            <v>36982</v>
          </cell>
          <cell r="I60">
            <v>37165</v>
          </cell>
          <cell r="J60">
            <v>37072</v>
          </cell>
        </row>
        <row r="61">
          <cell r="A61">
            <v>59</v>
          </cell>
          <cell r="C61" t="str">
            <v>г.Лабинск</v>
          </cell>
          <cell r="D61" t="str">
            <v>Подходы к мосту ;  км: 0+000-1+600</v>
          </cell>
          <cell r="F61" t="str">
            <v>Облегченный ремонт - III вариант</v>
          </cell>
          <cell r="G61" t="str">
            <v>Район: г.Лабинск \ Подходы к мосту ;  км: 0+000-1+600 \ Облегченный ремонт - III вариант</v>
          </cell>
          <cell r="H61">
            <v>36982</v>
          </cell>
          <cell r="I61">
            <v>37165</v>
          </cell>
          <cell r="J61">
            <v>37072</v>
          </cell>
        </row>
        <row r="62">
          <cell r="A62">
            <v>60</v>
          </cell>
          <cell r="C62" t="str">
            <v>г.Лабинск</v>
          </cell>
          <cell r="D62" t="str">
            <v>Лабинск - Ахметовская ;  км: 34+000-38+000</v>
          </cell>
          <cell r="F62" t="str">
            <v>Облегченный ремонт - III вариант</v>
          </cell>
          <cell r="G62" t="str">
            <v>Район: г.Лабинск \ Лабинск - Ахметовская ;  км: 34+000-38+000 \ Облегченный ремонт - III вариант</v>
          </cell>
          <cell r="H62">
            <v>36982</v>
          </cell>
          <cell r="I62">
            <v>37165</v>
          </cell>
          <cell r="J62">
            <v>37072</v>
          </cell>
        </row>
        <row r="63">
          <cell r="A63">
            <v>61</v>
          </cell>
          <cell r="C63" t="str">
            <v>г.Новороссийск</v>
          </cell>
          <cell r="D63" t="str">
            <v>Кириловка-Гайдук ;  км: 0+000-5+000</v>
          </cell>
          <cell r="F63" t="str">
            <v>Поверхностная обработка (II вариант)</v>
          </cell>
          <cell r="G63" t="str">
            <v>Район: г.Новороссийск \ Кириловка-Гайдук ;  км: 0+000-5+000 \ Поверхностная обработка (II вариант)</v>
          </cell>
          <cell r="H63">
            <v>36982</v>
          </cell>
          <cell r="I63">
            <v>37165</v>
          </cell>
          <cell r="J63">
            <v>37072</v>
          </cell>
        </row>
        <row r="64">
          <cell r="A64">
            <v>62</v>
          </cell>
          <cell r="C64" t="str">
            <v>г.Новороссийск</v>
          </cell>
          <cell r="D64" t="str">
            <v>Юровка - Раевская - Волчьи Ворота ;  км: 24+400-31+000 ; 33+000-37+000</v>
          </cell>
          <cell r="F64" t="str">
            <v>Поверхностная обработка (II вариант)</v>
          </cell>
          <cell r="G64" t="str">
            <v>Район: г.Новороссийск \ Юровка - Раевская - Волчьи Ворота ;  км: 24+400-31+000 ; 33+000-37+000 \ Поверхностная обработка (II вариант)</v>
          </cell>
          <cell r="H64">
            <v>36982</v>
          </cell>
          <cell r="I64">
            <v>37165</v>
          </cell>
          <cell r="J64">
            <v>37072</v>
          </cell>
        </row>
        <row r="65">
          <cell r="A65">
            <v>63</v>
          </cell>
          <cell r="C65" t="str">
            <v>г.Сочи</v>
          </cell>
          <cell r="D65" t="str">
            <v>Подъезд к с.Верхнее Буу ;  км: 0+000-0+780 ; 0+950-2+800</v>
          </cell>
          <cell r="F65" t="str">
            <v>Поверхностная обработка (II вариант)</v>
          </cell>
          <cell r="G65" t="str">
            <v>Район: г.Сочи \ Подъезд к с.Верхнее Буу ;  км: 0+000-0+780 ; 0+950-2+800 \ Поверхностная обработка (II вариант)</v>
          </cell>
          <cell r="H65">
            <v>36982</v>
          </cell>
          <cell r="I65">
            <v>37165</v>
          </cell>
          <cell r="J65">
            <v>37072</v>
          </cell>
        </row>
        <row r="66">
          <cell r="A66">
            <v>64</v>
          </cell>
          <cell r="C66" t="str">
            <v>г.Сочи</v>
          </cell>
          <cell r="D66" t="str">
            <v>Дагомыс - Солох Аул ;  км: 0+800-8+800</v>
          </cell>
          <cell r="F66" t="str">
            <v>Поверхностная обработка (II вариант)</v>
          </cell>
          <cell r="G66" t="str">
            <v>Район: г.Сочи \ Дагомыс - Солох Аул ;  км: 0+800-8+800 \ Поверхностная обработка (II вариант)</v>
          </cell>
          <cell r="H66">
            <v>36982</v>
          </cell>
          <cell r="I66">
            <v>37165</v>
          </cell>
          <cell r="J66">
            <v>37072</v>
          </cell>
        </row>
        <row r="67">
          <cell r="A67">
            <v>65</v>
          </cell>
          <cell r="C67" t="str">
            <v>Гулькевичский</v>
          </cell>
          <cell r="D67" t="str">
            <v>Гулькевичи - Кропоткин ;  км: 0+000-9+233</v>
          </cell>
          <cell r="F67" t="str">
            <v>Поверхностная обработка (II вариант)</v>
          </cell>
          <cell r="G67" t="str">
            <v>Район: Гулькевичский \ Гулькевичи - Кропоткин ;  км: 0+000-9+233 \ Поверхностная обработка (II вариант)</v>
          </cell>
          <cell r="H67">
            <v>36982</v>
          </cell>
          <cell r="I67">
            <v>37165</v>
          </cell>
          <cell r="J67">
            <v>37072</v>
          </cell>
        </row>
        <row r="68">
          <cell r="A68">
            <v>66</v>
          </cell>
          <cell r="C68" t="str">
            <v>Гулькевичский</v>
          </cell>
          <cell r="D68" t="str">
            <v>Гулькевичи - Скобелевская ;  км: 0+000-7+400</v>
          </cell>
          <cell r="F68" t="str">
            <v>Поверхностная обработка (II вариант)</v>
          </cell>
          <cell r="G68" t="str">
            <v>Район: Гулькевичский \ Гулькевичи - Скобелевская ;  км: 0+000-7+400 \ Поверхностная обработка (II вариант)</v>
          </cell>
          <cell r="H68">
            <v>36982</v>
          </cell>
          <cell r="I68">
            <v>37165</v>
          </cell>
          <cell r="J68">
            <v>37072</v>
          </cell>
        </row>
        <row r="69">
          <cell r="A69">
            <v>67</v>
          </cell>
          <cell r="C69" t="str">
            <v>Гулькевичский</v>
          </cell>
          <cell r="D69" t="str">
            <v>Гулькевичи - Новоукраинское - гр.Тбилисского района ;  км: 4+400-9+700</v>
          </cell>
          <cell r="F69" t="str">
            <v>Поверхностная обработка (II вариант)</v>
          </cell>
          <cell r="G69" t="str">
            <v>Район: Гулькевичский \ Гулькевичи - Новоукраинское - гр.Тбилисского района ;  км: 4+400-9+700 \ Поверхностная обработка (II вариант)</v>
          </cell>
          <cell r="H69">
            <v>36982</v>
          </cell>
          <cell r="I69">
            <v>37165</v>
          </cell>
          <cell r="J69">
            <v>37072</v>
          </cell>
        </row>
        <row r="70">
          <cell r="A70">
            <v>68</v>
          </cell>
          <cell r="C70" t="str">
            <v>Гулькевичский</v>
          </cell>
          <cell r="D70" t="str">
            <v>Подъезд к ц/у с-за "Кубань" ;  км: 0+000-1+526</v>
          </cell>
          <cell r="F70" t="str">
            <v>Поверхностная обработка (II вариант)</v>
          </cell>
          <cell r="G70" t="str">
            <v>Район: Гулькевичский \ Подъезд к ц/у с-за "Кубань" ;  км: 0+000-1+526 \ Поверхностная обработка (II вариант)</v>
          </cell>
          <cell r="H70">
            <v>36982</v>
          </cell>
          <cell r="I70">
            <v>37165</v>
          </cell>
          <cell r="J70">
            <v>37072</v>
          </cell>
        </row>
        <row r="71">
          <cell r="A71">
            <v>69</v>
          </cell>
          <cell r="C71" t="str">
            <v>Гулькевичский</v>
          </cell>
          <cell r="D71" t="str">
            <v>Подъезд к х.Духовской ;  км: 1+800-8+200</v>
          </cell>
          <cell r="F71" t="str">
            <v>Облегченный ремонт - III вариант</v>
          </cell>
          <cell r="G71" t="str">
            <v>Район: Гулькевичский \ Подъезд к х.Духовской ;  км: 1+800-8+200 \ Облегченный ремонт - III вариант</v>
          </cell>
          <cell r="H71">
            <v>36982</v>
          </cell>
          <cell r="I71">
            <v>37165</v>
          </cell>
          <cell r="J71">
            <v>37072</v>
          </cell>
        </row>
        <row r="72">
          <cell r="A72">
            <v>70</v>
          </cell>
          <cell r="C72" t="str">
            <v>Динской</v>
          </cell>
          <cell r="D72" t="str">
            <v>Краснодар - Ейск ;  км: 11+000-16+000</v>
          </cell>
          <cell r="F72" t="str">
            <v>Поверхностная обработка (II вариант)</v>
          </cell>
          <cell r="G72" t="str">
            <v>Район: Динской \ Краснодар - Ейск ;  км: 11+000-16+000 \ Поверхностная обработка (II вариант)</v>
          </cell>
          <cell r="H72">
            <v>36982</v>
          </cell>
          <cell r="I72">
            <v>37165</v>
          </cell>
          <cell r="J72">
            <v>37072</v>
          </cell>
        </row>
        <row r="73">
          <cell r="A73">
            <v>71</v>
          </cell>
          <cell r="C73" t="str">
            <v>Динской</v>
          </cell>
          <cell r="D73" t="str">
            <v>Динская - Старомышастовская ;  км: 6+000-20+600 (на участке 12+000-17+000)</v>
          </cell>
          <cell r="F73" t="str">
            <v>Поверхностная обработка (II вариант)</v>
          </cell>
          <cell r="G73" t="str">
            <v>Район: Динской \ Динская - Старомышастовская ;  км: 6+000-20+600 (на участке 12+000-17+000) \ Поверхностная обработка (II вариант)</v>
          </cell>
          <cell r="H73">
            <v>36982</v>
          </cell>
          <cell r="I73">
            <v>37165</v>
          </cell>
          <cell r="J73">
            <v>37072</v>
          </cell>
        </row>
        <row r="74">
          <cell r="A74">
            <v>72</v>
          </cell>
          <cell r="C74" t="str">
            <v>Динской</v>
          </cell>
          <cell r="D74" t="str">
            <v>Новотитаровская - Копанской ;  км: 9+000-21+200 (на участке 9+000-14+000, 18+000-20+760)</v>
          </cell>
          <cell r="F74" t="str">
            <v>Поверхностная обработка (II вариант)</v>
          </cell>
          <cell r="G74" t="str">
            <v>Район: Динской \ Новотитаровская - Копанской ;  км: 9+000-21+200 (на участке 9+000-14+000, 18+000-20+760) \ Поверхностная обработка (II вариант)</v>
          </cell>
          <cell r="H74">
            <v>36982</v>
          </cell>
          <cell r="I74">
            <v>37165</v>
          </cell>
          <cell r="J74">
            <v>37072</v>
          </cell>
        </row>
        <row r="75">
          <cell r="A75">
            <v>73</v>
          </cell>
          <cell r="C75" t="str">
            <v>Динской</v>
          </cell>
          <cell r="D75" t="str">
            <v>Нововеличковская - Воронцовская ;  км: 0+000-1+200 ; 4+000-6+000 (на участке 4+000-6+000)</v>
          </cell>
          <cell r="F75" t="str">
            <v>Поверхностная обработка (II вариант)</v>
          </cell>
          <cell r="G75" t="str">
            <v>Район: Динской \ Нововеличковская - Воронцовская ;  км: 0+000-1+200 ; 4+000-6+000 (на участке 4+000-6+000) \ Поверхностная обработка (II вариант)</v>
          </cell>
          <cell r="H75">
            <v>36982</v>
          </cell>
          <cell r="I75">
            <v>37165</v>
          </cell>
          <cell r="J75">
            <v>37072</v>
          </cell>
        </row>
        <row r="76">
          <cell r="A76">
            <v>74</v>
          </cell>
          <cell r="C76" t="str">
            <v>Динской</v>
          </cell>
          <cell r="D76" t="str">
            <v>Пластуновская - Суворовское ;  км: 4+000-6+200</v>
          </cell>
          <cell r="F76" t="str">
            <v>Поверхностная обработка (II вариант)</v>
          </cell>
          <cell r="G76" t="str">
            <v>Район: Динской \ Пластуновская - Суворовское ;  км: 4+000-6+200 \ Поверхностная обработка (II вариант)</v>
          </cell>
          <cell r="H76">
            <v>36982</v>
          </cell>
          <cell r="I76">
            <v>37165</v>
          </cell>
          <cell r="J76">
            <v>37072</v>
          </cell>
        </row>
        <row r="77">
          <cell r="A77">
            <v>75</v>
          </cell>
          <cell r="C77" t="str">
            <v>Динской</v>
          </cell>
          <cell r="D77" t="str">
            <v>Динская - Васюринская ;  км: 8+000-9+400 ;</v>
          </cell>
          <cell r="F77" t="str">
            <v>Поверхностная обработка (II вариант)</v>
          </cell>
          <cell r="G77" t="str">
            <v>Район: Динской \ Динская - Васюринская ;  км: 8+000-9+400 ; \ Поверхностная обработка (II вариант)</v>
          </cell>
          <cell r="H77">
            <v>36982</v>
          </cell>
          <cell r="I77">
            <v>37165</v>
          </cell>
          <cell r="J77">
            <v>37072</v>
          </cell>
        </row>
        <row r="78">
          <cell r="A78">
            <v>76</v>
          </cell>
          <cell r="C78" t="str">
            <v>Динской</v>
          </cell>
          <cell r="D78" t="str">
            <v>Динская - Агроном ;  км: 5+000-6+500</v>
          </cell>
          <cell r="F78" t="str">
            <v>Поверхностная обработка (II вариант)</v>
          </cell>
          <cell r="G78" t="str">
            <v>Район: Динской \ Динская - Агроном ;  км: 5+000-6+500 \ Поверхностная обработка (II вариант)</v>
          </cell>
          <cell r="H78">
            <v>36982</v>
          </cell>
          <cell r="I78">
            <v>37165</v>
          </cell>
          <cell r="J78">
            <v>37072</v>
          </cell>
        </row>
        <row r="79">
          <cell r="A79">
            <v>77</v>
          </cell>
          <cell r="C79" t="str">
            <v>Динской</v>
          </cell>
          <cell r="D79" t="str">
            <v>Подъезд к п.Украинский ;  км: 0+000-3+300</v>
          </cell>
          <cell r="F79" t="str">
            <v>Поверхностная обработка (II вариант)</v>
          </cell>
          <cell r="G79" t="str">
            <v>Район: Динской \ Подъезд к п.Украинский ;  км: 0+000-3+300 \ Поверхностная обработка (II вариант)</v>
          </cell>
          <cell r="H79">
            <v>36982</v>
          </cell>
          <cell r="I79">
            <v>37165</v>
          </cell>
          <cell r="J79">
            <v>37072</v>
          </cell>
        </row>
        <row r="80">
          <cell r="A80">
            <v>78</v>
          </cell>
          <cell r="C80" t="str">
            <v>Динской</v>
          </cell>
          <cell r="D80" t="str">
            <v>Динская - Старомышастовская ;  км: 6+000-20+600 (на участке 6+000-12+000,17+000-20+600)</v>
          </cell>
          <cell r="F80" t="str">
            <v>Поверхностная обработка (II вариант)</v>
          </cell>
          <cell r="G80" t="str">
            <v>Район: Динской \ Динская - Старомышастовская ;  км: 6+000-20+600 (на участке 6+000-12+000,17+000-20+600) \ Поверхностная обработка (II вариант)</v>
          </cell>
          <cell r="H80">
            <v>36982</v>
          </cell>
          <cell r="I80">
            <v>37165</v>
          </cell>
          <cell r="J80">
            <v>37072</v>
          </cell>
        </row>
        <row r="81">
          <cell r="A81">
            <v>79</v>
          </cell>
          <cell r="C81" t="str">
            <v>Динской</v>
          </cell>
          <cell r="D81" t="str">
            <v>Динская - Пластуновская ;  км: 0+050 ; 1+700</v>
          </cell>
          <cell r="F81" t="str">
            <v>Устройство автопавильонов</v>
          </cell>
          <cell r="G81" t="str">
            <v>Район: Динской \ Динская - Пластуновская ;  км: 0+050 ; 1+700 \ Устройство автопавильонов</v>
          </cell>
          <cell r="H81">
            <v>36982</v>
          </cell>
          <cell r="I81">
            <v>37165</v>
          </cell>
          <cell r="J81">
            <v>37072</v>
          </cell>
        </row>
        <row r="82">
          <cell r="A82">
            <v>80</v>
          </cell>
          <cell r="C82" t="str">
            <v>Динской</v>
          </cell>
          <cell r="D82" t="str">
            <v>Динская - Агроном ;  км: 5+200</v>
          </cell>
          <cell r="F82" t="str">
            <v>Устройство автопавильонов</v>
          </cell>
          <cell r="G82" t="str">
            <v>Район: Динской \ Динская - Агроном ;  км: 5+200 \ Устройство автопавильонов</v>
          </cell>
          <cell r="H82">
            <v>36982</v>
          </cell>
          <cell r="I82">
            <v>37165</v>
          </cell>
          <cell r="J82">
            <v>37072</v>
          </cell>
        </row>
        <row r="83">
          <cell r="A83">
            <v>81</v>
          </cell>
          <cell r="C83" t="str">
            <v>Динской</v>
          </cell>
          <cell r="D83" t="str">
            <v>Динская - Старомышастовская ;  км: 12+500</v>
          </cell>
          <cell r="F83" t="str">
            <v>Устройство автопавильонов</v>
          </cell>
          <cell r="G83" t="str">
            <v>Район: Динской \ Динская - Старомышастовская ;  км: 12+500 \ Устройство автопавильонов</v>
          </cell>
          <cell r="H83">
            <v>36982</v>
          </cell>
          <cell r="I83">
            <v>37165</v>
          </cell>
          <cell r="J83">
            <v>37072</v>
          </cell>
        </row>
        <row r="84">
          <cell r="A84">
            <v>82</v>
          </cell>
          <cell r="C84" t="str">
            <v>Динской</v>
          </cell>
          <cell r="D84" t="str">
            <v>Новотитаровская - Копанской ;  км: 5+200 ; 15+800</v>
          </cell>
          <cell r="F84" t="str">
            <v>Устройство автопавильонов</v>
          </cell>
          <cell r="G84" t="str">
            <v>Район: Динской \ Новотитаровская - Копанской ;  км: 5+200 ; 15+800 \ Устройство автопавильонов</v>
          </cell>
          <cell r="H84">
            <v>36982</v>
          </cell>
          <cell r="I84">
            <v>37165</v>
          </cell>
          <cell r="J84">
            <v>37072</v>
          </cell>
        </row>
        <row r="85">
          <cell r="A85">
            <v>83</v>
          </cell>
          <cell r="C85" t="str">
            <v>Динской</v>
          </cell>
          <cell r="D85" t="str">
            <v>Калининская - Новотитаровская ;  км: 30+000-32+000</v>
          </cell>
          <cell r="F85" t="str">
            <v>Устройство тротуаров и пешеходных дорожек</v>
          </cell>
          <cell r="G85" t="str">
            <v>Район: Динской \ Калининская - Новотитаровская ;  км: 30+000-32+000 \ Устройство тротуаров и пешеходных дорожек</v>
          </cell>
          <cell r="H85">
            <v>36982</v>
          </cell>
          <cell r="I85">
            <v>37165</v>
          </cell>
          <cell r="J85">
            <v>37072</v>
          </cell>
        </row>
        <row r="86">
          <cell r="A86">
            <v>84</v>
          </cell>
          <cell r="C86" t="str">
            <v>Ейский</v>
          </cell>
          <cell r="D86" t="str">
            <v>Ейск - Ясенская - Новоминская ;  км: 30+000-41+200</v>
          </cell>
          <cell r="F86" t="str">
            <v>Поверхностная обработка (II вариант)</v>
          </cell>
          <cell r="G86" t="str">
            <v>Район: Ейский \ Ейск - Ясенская - Новоминская ;  км: 30+000-41+200 \ Поверхностная обработка (II вариант)</v>
          </cell>
          <cell r="H86">
            <v>36982</v>
          </cell>
          <cell r="I86">
            <v>37165</v>
          </cell>
          <cell r="J86">
            <v>37072</v>
          </cell>
        </row>
        <row r="87">
          <cell r="A87">
            <v>85</v>
          </cell>
          <cell r="C87" t="str">
            <v>Ейский</v>
          </cell>
          <cell r="D87" t="str">
            <v>Приазовка - Воронцовка - Должанская ;  км: 7+000-15+200</v>
          </cell>
          <cell r="F87" t="str">
            <v>Поверхностная обработка (II вариант)</v>
          </cell>
          <cell r="G87" t="str">
            <v>Район: Ейский \ Приазовка - Воронцовка - Должанская ;  км: 7+000-15+200 \ Поверхностная обработка (II вариант)</v>
          </cell>
          <cell r="H87">
            <v>36982</v>
          </cell>
          <cell r="I87">
            <v>37165</v>
          </cell>
          <cell r="J87">
            <v>37072</v>
          </cell>
        </row>
        <row r="88">
          <cell r="A88">
            <v>86</v>
          </cell>
          <cell r="C88" t="str">
            <v>Ейский</v>
          </cell>
          <cell r="D88" t="str">
            <v>Приазовка -Воронцовка-Должанская км 0+000-7+000</v>
          </cell>
          <cell r="F88" t="str">
            <v>Облегченный ремонт - III вариант</v>
          </cell>
          <cell r="G88" t="str">
            <v>Район: Ейский \ Приазовка -Воронцовка-Должанская км 0+000-7+000 \ Облегченный ремонт - III вариант</v>
          </cell>
          <cell r="H88">
            <v>36982</v>
          </cell>
          <cell r="I88">
            <v>37165</v>
          </cell>
          <cell r="J88">
            <v>37072</v>
          </cell>
        </row>
        <row r="89">
          <cell r="A89">
            <v>87</v>
          </cell>
          <cell r="C89" t="str">
            <v>Ейский</v>
          </cell>
          <cell r="D89" t="str">
            <v>Ейск - Ясенская - Новоминская ;  км: 1+000; 1+050; 11+100</v>
          </cell>
          <cell r="F89" t="str">
            <v>Устройство остановочных площадок</v>
          </cell>
          <cell r="G89" t="str">
            <v>Район: Ейский \ Ейск - Ясенская - Новоминская ;  км: 1+000; 1+050; 11+100 \ Устройство остановочных площадок</v>
          </cell>
          <cell r="H89">
            <v>36982</v>
          </cell>
          <cell r="I89">
            <v>37165</v>
          </cell>
          <cell r="J89">
            <v>37072</v>
          </cell>
        </row>
        <row r="90">
          <cell r="A90">
            <v>88</v>
          </cell>
          <cell r="C90" t="str">
            <v>Ейский</v>
          </cell>
          <cell r="D90" t="str">
            <v>Ясенская - Ясенская Переправа ;  км: 0+800</v>
          </cell>
          <cell r="F90" t="str">
            <v>Устройство остановочных площадок</v>
          </cell>
          <cell r="G90" t="str">
            <v>Район: Ейский \ Ясенская - Ясенская Переправа ;  км: 0+800 \ Устройство остановочных площадок</v>
          </cell>
          <cell r="H90">
            <v>36982</v>
          </cell>
          <cell r="I90">
            <v>37165</v>
          </cell>
          <cell r="J90">
            <v>37072</v>
          </cell>
        </row>
        <row r="91">
          <cell r="A91">
            <v>89</v>
          </cell>
          <cell r="C91" t="str">
            <v>Ейский</v>
          </cell>
          <cell r="D91" t="str">
            <v>Ейск - Ясенская - Новоминская ;  км: 1+000; 1+050; 11+100</v>
          </cell>
          <cell r="F91" t="str">
            <v>Устройство автопавильонов</v>
          </cell>
          <cell r="G91" t="str">
            <v>Район: Ейский \ Ейск - Ясенская - Новоминская ;  км: 1+000; 1+050; 11+100 \ Устройство автопавильонов</v>
          </cell>
          <cell r="H91">
            <v>36982</v>
          </cell>
          <cell r="I91">
            <v>37165</v>
          </cell>
          <cell r="J91">
            <v>37072</v>
          </cell>
        </row>
        <row r="92">
          <cell r="A92">
            <v>90</v>
          </cell>
          <cell r="C92" t="str">
            <v>Ейский</v>
          </cell>
          <cell r="D92" t="str">
            <v>Ясенская - Ясенская Переправа ;  км: 0+800</v>
          </cell>
          <cell r="F92" t="str">
            <v>Устройство автопавильонов</v>
          </cell>
          <cell r="G92" t="str">
            <v>Район: Ейский \ Ясенская - Ясенская Переправа ;  км: 0+800 \ Устройство автопавильонов</v>
          </cell>
          <cell r="H92">
            <v>36982</v>
          </cell>
          <cell r="I92">
            <v>37165</v>
          </cell>
          <cell r="J92">
            <v>37072</v>
          </cell>
        </row>
        <row r="93">
          <cell r="A93">
            <v>91</v>
          </cell>
          <cell r="C93" t="str">
            <v>Ейский</v>
          </cell>
          <cell r="D93" t="str">
            <v>Ейск - Ясенская - Новоминская ;  км: 0+600-1+700</v>
          </cell>
          <cell r="F93" t="str">
            <v>Устройство тротуаров и пешеходных дорожек</v>
          </cell>
          <cell r="G93" t="str">
            <v>Район: Ейский \ Ейск - Ясенская - Новоминская ;  км: 0+600-1+700 \ Устройство тротуаров и пешеходных дорожек</v>
          </cell>
          <cell r="H93">
            <v>36982</v>
          </cell>
          <cell r="I93">
            <v>37165</v>
          </cell>
          <cell r="J93">
            <v>37072</v>
          </cell>
        </row>
        <row r="94">
          <cell r="A94">
            <v>92</v>
          </cell>
          <cell r="C94" t="str">
            <v>Ейский</v>
          </cell>
          <cell r="D94" t="str">
            <v>Ейск - Ясенская - Новоминская ;  км: 11+000-11+850</v>
          </cell>
          <cell r="F94" t="str">
            <v>Устройство тротуаров и пешеходных дорожек</v>
          </cell>
          <cell r="G94" t="str">
            <v>Район: Ейский \ Ейск - Ясенская - Новоминская ;  км: 11+000-11+850 \ Устройство тротуаров и пешеходных дорожек</v>
          </cell>
          <cell r="H94">
            <v>36982</v>
          </cell>
          <cell r="I94">
            <v>37165</v>
          </cell>
          <cell r="J94">
            <v>37072</v>
          </cell>
        </row>
        <row r="95">
          <cell r="A95">
            <v>93</v>
          </cell>
          <cell r="C95" t="str">
            <v>Ейский</v>
          </cell>
          <cell r="D95" t="str">
            <v>Краснодар - Ейск ;  км: 221+700</v>
          </cell>
          <cell r="F95" t="str">
            <v>Архитектурно-художественное оформление элементов обустройства дорог</v>
          </cell>
          <cell r="G95" t="str">
            <v>Район: Ейский \ Краснодар - Ейск ;  км: 221+700 \ Архитектурно-художественное оформление элементов обустройства дорог</v>
          </cell>
          <cell r="H95">
            <v>36982</v>
          </cell>
          <cell r="I95">
            <v>37165</v>
          </cell>
          <cell r="J95">
            <v>37072</v>
          </cell>
        </row>
        <row r="96">
          <cell r="A96">
            <v>94</v>
          </cell>
          <cell r="C96" t="str">
            <v>Кавказский</v>
          </cell>
          <cell r="D96" t="str">
            <v>Кропоткин - Темижбекская - гр.Ставропольского края ;  км: 0+000-8+000</v>
          </cell>
          <cell r="F96" t="str">
            <v>Поверхностная обработка (II вариант)</v>
          </cell>
          <cell r="G96" t="str">
            <v>Район: Кавказский \ Кропоткин - Темижбекская - гр.Ставропольского края ;  км: 0+000-8+000 \ Поверхностная обработка (II вариант)</v>
          </cell>
          <cell r="H96">
            <v>36982</v>
          </cell>
          <cell r="I96">
            <v>37165</v>
          </cell>
          <cell r="J96">
            <v>37072</v>
          </cell>
        </row>
        <row r="97">
          <cell r="A97">
            <v>95</v>
          </cell>
          <cell r="C97" t="str">
            <v>Кавказский</v>
          </cell>
          <cell r="D97" t="str">
            <v>Кавказская - Новопокровская ;  км: 11+000-16+300</v>
          </cell>
          <cell r="F97" t="str">
            <v>Облегченный ремонт - III вариант</v>
          </cell>
          <cell r="G97" t="str">
            <v>Район: Кавказский \ Кавказская - Новопокровская ;  км: 11+000-16+300 \ Облегченный ремонт - III вариант</v>
          </cell>
          <cell r="H97">
            <v>36982</v>
          </cell>
          <cell r="I97">
            <v>37165</v>
          </cell>
          <cell r="J97">
            <v>37072</v>
          </cell>
        </row>
        <row r="98">
          <cell r="A98">
            <v>96</v>
          </cell>
          <cell r="C98" t="str">
            <v>Калининский</v>
          </cell>
          <cell r="D98" t="str">
            <v>Подъезд к с.Гришковское ;  км: 0+000-5+800</v>
          </cell>
          <cell r="F98" t="str">
            <v>Поверхностная обработка (II вариант)</v>
          </cell>
          <cell r="G98" t="str">
            <v>Район: Калининский \ Подъезд к с.Гришковское ;  км: 0+000-5+800 \ Поверхностная обработка (II вариант)</v>
          </cell>
          <cell r="H98">
            <v>36982</v>
          </cell>
          <cell r="I98">
            <v>37165</v>
          </cell>
          <cell r="J98">
            <v>37072</v>
          </cell>
        </row>
        <row r="99">
          <cell r="A99">
            <v>97</v>
          </cell>
          <cell r="C99" t="str">
            <v>Калининский</v>
          </cell>
          <cell r="D99" t="str">
            <v>Калининская - Новониколаевская ;  км: 11+000-17+800 ; 29+200-30+500</v>
          </cell>
          <cell r="F99" t="str">
            <v>Поверхностная обработка (II вариант)</v>
          </cell>
          <cell r="G99" t="str">
            <v>Район: Калининский \ Калининская - Новониколаевская ;  км: 11+000-17+800 ; 29+200-30+500 \ Поверхностная обработка (II вариант)</v>
          </cell>
          <cell r="H99">
            <v>36982</v>
          </cell>
          <cell r="I99">
            <v>37165</v>
          </cell>
          <cell r="J99">
            <v>37072</v>
          </cell>
        </row>
        <row r="100">
          <cell r="A100">
            <v>98</v>
          </cell>
          <cell r="C100" t="str">
            <v>Калининский</v>
          </cell>
          <cell r="D100" t="str">
            <v> Нововеличковская-Долиновское ;  км: 10+170-12+560</v>
          </cell>
          <cell r="F100" t="str">
            <v>Поверхностная обработка (II вариант)</v>
          </cell>
          <cell r="G100" t="str">
            <v>Район: Калининский \  Нововеличковская-Долиновское ;  км: 10+170-12+560 \ Поверхностная обработка (II вариант)</v>
          </cell>
          <cell r="H100">
            <v>36982</v>
          </cell>
          <cell r="I100">
            <v>37165</v>
          </cell>
          <cell r="J100">
            <v>37072</v>
          </cell>
        </row>
        <row r="101">
          <cell r="A101">
            <v>99</v>
          </cell>
          <cell r="C101" t="str">
            <v>Калининский</v>
          </cell>
          <cell r="D101" t="str">
            <v>Калининская - Новониколаевская ;  км: 17+800-22+100 ; 30+500-32+500</v>
          </cell>
          <cell r="F101" t="str">
            <v>Поверхностная обработка (I вариант)</v>
          </cell>
          <cell r="G101" t="str">
            <v>Район: Калининский \ Калининская - Новониколаевская ;  км: 17+800-22+100 ; 30+500-32+500 \ Поверхностная обработка (I вариант)</v>
          </cell>
          <cell r="H101">
            <v>36982</v>
          </cell>
          <cell r="I101">
            <v>37165</v>
          </cell>
          <cell r="J101">
            <v>37072</v>
          </cell>
        </row>
        <row r="102">
          <cell r="A102">
            <v>100</v>
          </cell>
          <cell r="C102" t="str">
            <v>Калининский</v>
          </cell>
          <cell r="D102" t="str">
            <v>Тимашевск - Славянск-на-Кубани - Крымск ;  км: 28+000-33+000</v>
          </cell>
          <cell r="F102" t="str">
            <v>Облегченный ремонт - III вариант</v>
          </cell>
          <cell r="G102" t="str">
            <v>Район: Калининский \ Тимашевск - Славянск-на-Кубани - Крымск ;  км: 28+000-33+000 \ Облегченный ремонт - III вариант</v>
          </cell>
          <cell r="H102">
            <v>36982</v>
          </cell>
          <cell r="I102">
            <v>37165</v>
          </cell>
          <cell r="J102">
            <v>37072</v>
          </cell>
        </row>
        <row r="103">
          <cell r="A103">
            <v>101</v>
          </cell>
          <cell r="C103" t="str">
            <v>Калининский</v>
          </cell>
          <cell r="D103" t="str">
            <v>Тимашевск - Славянск-на-Кубани - Крымск ;  км: 26+900-27+300 (0,4 км)</v>
          </cell>
          <cell r="F103" t="str">
            <v>Устройство тротуаров и пешеходных дорожек</v>
          </cell>
          <cell r="G103" t="str">
            <v>Район: Калининский \ Тимашевск - Славянск-на-Кубани - Крымск ;  км: 26+900-27+300 (0,4 км) \ Устройство тротуаров и пешеходных дорожек</v>
          </cell>
          <cell r="H103">
            <v>36982</v>
          </cell>
          <cell r="I103">
            <v>37165</v>
          </cell>
          <cell r="J103">
            <v>37072</v>
          </cell>
        </row>
        <row r="104">
          <cell r="A104">
            <v>102</v>
          </cell>
          <cell r="C104" t="str">
            <v>Калининский</v>
          </cell>
          <cell r="D104" t="str">
            <v>Обход ст.Калининская ;  км: 2+500-4+500 (2 км)</v>
          </cell>
          <cell r="F104" t="str">
            <v>Устройство тротуаров и пешеходных дорожек</v>
          </cell>
          <cell r="G104" t="str">
            <v>Район: Калининский \ Обход ст.Калининская ;  км: 2+500-4+500 (2 км) \ Устройство тротуаров и пешеходных дорожек</v>
          </cell>
          <cell r="H104">
            <v>36982</v>
          </cell>
          <cell r="I104">
            <v>37165</v>
          </cell>
          <cell r="J104">
            <v>37072</v>
          </cell>
        </row>
        <row r="105">
          <cell r="A105">
            <v>103</v>
          </cell>
          <cell r="C105" t="str">
            <v>Каневский</v>
          </cell>
          <cell r="D105" t="str">
            <v>Краснодар - Ейск ;  км: 137+000-152+000</v>
          </cell>
          <cell r="F105" t="str">
            <v>Поверхностная обработка (II вариант)</v>
          </cell>
          <cell r="G105" t="str">
            <v>Район: Каневский \ Краснодар - Ейск ;  км: 137+000-152+000 \ Поверхностная обработка (II вариант)</v>
          </cell>
          <cell r="H105">
            <v>36982</v>
          </cell>
          <cell r="I105">
            <v>37165</v>
          </cell>
          <cell r="J105">
            <v>37072</v>
          </cell>
        </row>
        <row r="106">
          <cell r="A106">
            <v>104</v>
          </cell>
          <cell r="C106" t="str">
            <v>Каневский</v>
          </cell>
          <cell r="D106" t="str">
            <v>Привольная - Каневская - Березанская ;  км: 53+000-68+000</v>
          </cell>
          <cell r="F106" t="str">
            <v>Поверхностная обработка (II вариант)</v>
          </cell>
          <cell r="G106" t="str">
            <v>Район: Каневский \ Привольная - Каневская - Березанская ;  км: 53+000-68+000 \ Поверхностная обработка (II вариант)</v>
          </cell>
          <cell r="H106">
            <v>36982</v>
          </cell>
          <cell r="I106">
            <v>37165</v>
          </cell>
          <cell r="J106">
            <v>37072</v>
          </cell>
        </row>
        <row r="107">
          <cell r="A107">
            <v>105</v>
          </cell>
          <cell r="C107" t="str">
            <v>Каневский</v>
          </cell>
          <cell r="D107" t="str">
            <v>Западный обход ст.Каневская ;  км: 0+000-13+900</v>
          </cell>
          <cell r="F107" t="str">
            <v>Поверхностная обработка (II вариант)</v>
          </cell>
          <cell r="G107" t="str">
            <v>Район: Каневский \ Западный обход ст.Каневская ;  км: 0+000-13+900 \ Поверхностная обработка (II вариант)</v>
          </cell>
          <cell r="H107">
            <v>36982</v>
          </cell>
          <cell r="I107">
            <v>37165</v>
          </cell>
          <cell r="J107">
            <v>37072</v>
          </cell>
        </row>
        <row r="108">
          <cell r="A108">
            <v>106</v>
          </cell>
          <cell r="C108" t="str">
            <v>Каневский</v>
          </cell>
          <cell r="D108" t="str">
            <v>Западный обход ст.Каневская км 13+200-13+900</v>
          </cell>
          <cell r="F108" t="str">
            <v>Устройство тротуаров и пешеходных дорожек</v>
          </cell>
          <cell r="G108" t="str">
            <v>Район: Каневский \ Западный обход ст.Каневская км 13+200-13+900 \ Устройство тротуаров и пешеходных дорожек</v>
          </cell>
          <cell r="H108">
            <v>36982</v>
          </cell>
          <cell r="I108">
            <v>37165</v>
          </cell>
          <cell r="J108">
            <v>37072</v>
          </cell>
        </row>
        <row r="109">
          <cell r="A109">
            <v>107</v>
          </cell>
          <cell r="C109" t="str">
            <v>Каневский</v>
          </cell>
          <cell r="D109" t="str">
            <v>Стародеревянковская-Новодеревянковская км 23+000-38+000</v>
          </cell>
          <cell r="F109" t="str">
            <v>Поверхностная обработка (II вариант)</v>
          </cell>
          <cell r="G109" t="str">
            <v>Район: Каневский \ Стародеревянковская-Новодеревянковская км 23+000-38+000 \ Поверхностная обработка (II вариант)</v>
          </cell>
          <cell r="H109">
            <v>36982</v>
          </cell>
          <cell r="I109">
            <v>37165</v>
          </cell>
          <cell r="J109">
            <v>37072</v>
          </cell>
        </row>
        <row r="110">
          <cell r="A110">
            <v>108</v>
          </cell>
          <cell r="C110" t="str">
            <v>Каневский</v>
          </cell>
          <cell r="D110" t="str">
            <v>Стародеревянковская - Новодеревянковская ;  км: 18+000-23+000</v>
          </cell>
          <cell r="F110" t="str">
            <v>Облегченный ремонт - III вариант</v>
          </cell>
          <cell r="G110" t="str">
            <v>Район: Каневский \ Стародеревянковская - Новодеревянковская ;  км: 18+000-23+000 \ Облегченный ремонт - III вариант</v>
          </cell>
          <cell r="H110">
            <v>36982</v>
          </cell>
          <cell r="I110">
            <v>37165</v>
          </cell>
          <cell r="J110">
            <v>37072</v>
          </cell>
        </row>
        <row r="111">
          <cell r="A111">
            <v>109</v>
          </cell>
          <cell r="C111" t="str">
            <v>Кореновский</v>
          </cell>
          <cell r="D111" t="str">
            <v>Кореновск - Бураковский ;  км: 0+000-10+200</v>
          </cell>
          <cell r="F111" t="str">
            <v>Поверхностная обработка (II вариант)</v>
          </cell>
          <cell r="G111" t="str">
            <v>Район: Кореновский \ Кореновск - Бураковский ;  км: 0+000-10+200 \ Поверхностная обработка (II вариант)</v>
          </cell>
          <cell r="H111">
            <v>36982</v>
          </cell>
          <cell r="I111">
            <v>37165</v>
          </cell>
          <cell r="J111">
            <v>37072</v>
          </cell>
        </row>
        <row r="112">
          <cell r="A112">
            <v>110</v>
          </cell>
          <cell r="C112" t="str">
            <v>Кореновский</v>
          </cell>
          <cell r="D112" t="str">
            <v>Подъезд к п.Пролетарский ;  км: 0+000-3+200 ; 3+500-5+000</v>
          </cell>
          <cell r="F112" t="str">
            <v>Поверхностная обработка (II вариант)</v>
          </cell>
          <cell r="G112" t="str">
            <v>Район: Кореновский \ Подъезд к п.Пролетарский ;  км: 0+000-3+200 ; 3+500-5+000 \ Поверхностная обработка (II вариант)</v>
          </cell>
          <cell r="H112">
            <v>36982</v>
          </cell>
          <cell r="I112">
            <v>37165</v>
          </cell>
          <cell r="J112">
            <v>37072</v>
          </cell>
        </row>
        <row r="113">
          <cell r="A113">
            <v>111</v>
          </cell>
          <cell r="C113" t="str">
            <v>Кореновский</v>
          </cell>
          <cell r="D113" t="str">
            <v>Подъезд к с.Братковское ;  км: 11+200-13+400</v>
          </cell>
          <cell r="F113" t="str">
            <v>Поверхностная обработка (II вариант)</v>
          </cell>
          <cell r="G113" t="str">
            <v>Район: Кореновский \ Подъезд к с.Братковское ;  км: 11+200-13+400 \ Поверхностная обработка (II вариант)</v>
          </cell>
          <cell r="H113">
            <v>36982</v>
          </cell>
          <cell r="I113">
            <v>37165</v>
          </cell>
          <cell r="J113">
            <v>37072</v>
          </cell>
        </row>
        <row r="114">
          <cell r="A114">
            <v>112</v>
          </cell>
          <cell r="C114" t="str">
            <v>Кореновский</v>
          </cell>
          <cell r="D114" t="str">
            <v>Подъезд к х.Левченко ;  км: 0+000-1+700</v>
          </cell>
          <cell r="F114" t="str">
            <v>Поверхностная обработка (II вариант)</v>
          </cell>
          <cell r="G114" t="str">
            <v>Район: Кореновский \ Подъезд к х.Левченко ;  км: 0+000-1+700 \ Поверхностная обработка (II вариант)</v>
          </cell>
          <cell r="H114">
            <v>36982</v>
          </cell>
          <cell r="I114">
            <v>37165</v>
          </cell>
          <cell r="J114">
            <v>37072</v>
          </cell>
        </row>
        <row r="115">
          <cell r="A115">
            <v>113</v>
          </cell>
          <cell r="C115" t="str">
            <v>Кореновский</v>
          </cell>
          <cell r="D115" t="str">
            <v>Подъезд к п.Пролетарский ;  км: 0+049; 2+204; 3+040; 3+600</v>
          </cell>
          <cell r="F115" t="str">
            <v>Устройство автопавильонов</v>
          </cell>
          <cell r="G115" t="str">
            <v>Район: Кореновский \ Подъезд к п.Пролетарский ;  км: 0+049; 2+204; 3+040; 3+600 \ Устройство автопавильонов</v>
          </cell>
          <cell r="H115">
            <v>36982</v>
          </cell>
          <cell r="I115">
            <v>37165</v>
          </cell>
          <cell r="J115">
            <v>37072</v>
          </cell>
        </row>
        <row r="116">
          <cell r="A116">
            <v>114</v>
          </cell>
          <cell r="C116" t="str">
            <v>Кореновский</v>
          </cell>
          <cell r="D116" t="str">
            <v>Подъезд к с.Братковское ;  км: 0+049</v>
          </cell>
          <cell r="F116" t="str">
            <v>Устройство автопавильонов</v>
          </cell>
          <cell r="G116" t="str">
            <v>Район: Кореновский \ Подъезд к с.Братковское ;  км: 0+049 \ Устройство автопавильонов</v>
          </cell>
          <cell r="H116">
            <v>36982</v>
          </cell>
          <cell r="I116">
            <v>37165</v>
          </cell>
          <cell r="J116">
            <v>37072</v>
          </cell>
        </row>
        <row r="117">
          <cell r="A117">
            <v>115</v>
          </cell>
          <cell r="C117" t="str">
            <v>Кореновский</v>
          </cell>
          <cell r="D117" t="str">
            <v>Подъезд к   п.Комсомольский ;  км: 6+100; 6+258</v>
          </cell>
          <cell r="F117" t="str">
            <v>Устройство автопавильонов</v>
          </cell>
          <cell r="G117" t="str">
            <v>Район: Кореновский \ Подъезд к   п.Комсомольский ;  км: 6+100; 6+258 \ Устройство автопавильонов</v>
          </cell>
          <cell r="H117">
            <v>36982</v>
          </cell>
          <cell r="I117">
            <v>37165</v>
          </cell>
          <cell r="J117">
            <v>37072</v>
          </cell>
        </row>
        <row r="118">
          <cell r="A118">
            <v>116</v>
          </cell>
          <cell r="C118" t="str">
            <v>Кореновский</v>
          </cell>
          <cell r="D118" t="str">
            <v>Кореновск - п.Мирный ;  км: 2+150</v>
          </cell>
          <cell r="F118" t="str">
            <v>Устройство автопавильонов</v>
          </cell>
          <cell r="G118" t="str">
            <v>Район: Кореновский \ Кореновск - п.Мирный ;  км: 2+150 \ Устройство автопавильонов</v>
          </cell>
          <cell r="H118">
            <v>36982</v>
          </cell>
          <cell r="I118">
            <v>37165</v>
          </cell>
          <cell r="J118">
            <v>37072</v>
          </cell>
        </row>
        <row r="119">
          <cell r="A119">
            <v>117</v>
          </cell>
          <cell r="C119" t="str">
            <v>Кореновский</v>
          </cell>
          <cell r="D119" t="str">
            <v>Подъезд к с.Братковское ;  км: 14+700-15+000</v>
          </cell>
          <cell r="F119" t="str">
            <v>Устройство тротуаров и пешеходных дорожек</v>
          </cell>
          <cell r="G119" t="str">
            <v>Район: Кореновский \ Подъезд к с.Братковское ;  км: 14+700-15+000 \ Устройство тротуаров и пешеходных дорожек</v>
          </cell>
          <cell r="H119">
            <v>36982</v>
          </cell>
          <cell r="I119">
            <v>37165</v>
          </cell>
          <cell r="J119">
            <v>37072</v>
          </cell>
        </row>
        <row r="120">
          <cell r="A120">
            <v>118</v>
          </cell>
          <cell r="C120" t="str">
            <v>Красноармейский</v>
          </cell>
          <cell r="D120" t="str">
            <v>Темрюк - Краснодар - Кропоткин ;  км: 104+700-107+000</v>
          </cell>
          <cell r="F120" t="str">
            <v>Поверхностная обработка (II вариант)</v>
          </cell>
          <cell r="G120" t="str">
            <v>Район: Красноармейский \ Темрюк - Краснодар - Кропоткин ;  км: 104+700-107+000 \ Поверхностная обработка (II вариант)</v>
          </cell>
          <cell r="H120">
            <v>36982</v>
          </cell>
          <cell r="I120">
            <v>37165</v>
          </cell>
          <cell r="J120">
            <v>37072</v>
          </cell>
        </row>
        <row r="121">
          <cell r="A121">
            <v>119</v>
          </cell>
          <cell r="C121" t="str">
            <v>Красноармейский</v>
          </cell>
          <cell r="D121" t="str">
            <v>Протоцкий-Васильченки ;  км: 1+850-2+400 ; 8+000-10+000</v>
          </cell>
          <cell r="F121" t="str">
            <v>Поверхностная обработка (II вариант)</v>
          </cell>
          <cell r="G121" t="str">
            <v>Район: Красноармейский \ Протоцкий-Васильченки ;  км: 1+850-2+400 ; 8+000-10+000 \ Поверхностная обработка (II вариант)</v>
          </cell>
          <cell r="H121">
            <v>36982</v>
          </cell>
          <cell r="I121">
            <v>37165</v>
          </cell>
          <cell r="J121">
            <v>37072</v>
          </cell>
        </row>
        <row r="122">
          <cell r="A122">
            <v>120</v>
          </cell>
          <cell r="C122" t="str">
            <v>Красноармейский</v>
          </cell>
          <cell r="D122" t="str">
            <v>Полтавская - Чебурголь - Гривенская ;  км: 5+700-12+950 ; 33+600-36+600</v>
          </cell>
          <cell r="F122" t="str">
            <v>Поверхностная обработка (II вариант)</v>
          </cell>
          <cell r="G122" t="str">
            <v>Район: Красноармейский \ Полтавская - Чебурголь - Гривенская ;  км: 5+700-12+950 ; 33+600-36+600 \ Поверхностная обработка (II вариант)</v>
          </cell>
          <cell r="H122">
            <v>36982</v>
          </cell>
          <cell r="I122">
            <v>37165</v>
          </cell>
          <cell r="J122">
            <v>37072</v>
          </cell>
        </row>
        <row r="123">
          <cell r="A123">
            <v>121</v>
          </cell>
          <cell r="C123" t="str">
            <v>Красноармейский</v>
          </cell>
          <cell r="D123" t="str">
            <v>Тимашевск - Славянск-на-Кубани - Крымск ;  км: 38+100-42+000</v>
          </cell>
          <cell r="F123" t="str">
            <v>Поверхностная обработка (II вариант)</v>
          </cell>
          <cell r="G123" t="str">
            <v>Район: Красноармейский \ Тимашевск - Славянск-на-Кубани - Крымск ;  км: 38+100-42+000 \ Поверхностная обработка (II вариант)</v>
          </cell>
          <cell r="H123">
            <v>36982</v>
          </cell>
          <cell r="I123">
            <v>37165</v>
          </cell>
          <cell r="J123">
            <v>37072</v>
          </cell>
        </row>
        <row r="124">
          <cell r="A124">
            <v>122</v>
          </cell>
          <cell r="C124" t="str">
            <v>Красноармейский</v>
          </cell>
          <cell r="D124" t="str">
            <v>Трудобеликовский - Ивановская пристань ;  км: 10+500-11+400</v>
          </cell>
          <cell r="F124" t="str">
            <v>Поверхностная обработка (II вариант)</v>
          </cell>
          <cell r="G124" t="str">
            <v>Район: Красноармейский \ Трудобеликовский - Ивановская пристань ;  км: 10+500-11+400 \ Поверхностная обработка (II вариант)</v>
          </cell>
          <cell r="H124">
            <v>36982</v>
          </cell>
          <cell r="I124">
            <v>37165</v>
          </cell>
          <cell r="J124">
            <v>37072</v>
          </cell>
        </row>
        <row r="125">
          <cell r="A125">
            <v>123</v>
          </cell>
          <cell r="C125" t="str">
            <v>Красноармейский</v>
          </cell>
          <cell r="D125" t="str">
            <v>Трудобеликовский - Ивановская пристань ;  км: 3+600-6+200</v>
          </cell>
          <cell r="F125" t="str">
            <v>Облегченный ремонт - III вариант</v>
          </cell>
          <cell r="G125" t="str">
            <v>Район: Красноармейский \ Трудобеликовский - Ивановская пристань ;  км: 3+600-6+200 \ Облегченный ремонт - III вариант</v>
          </cell>
          <cell r="H125">
            <v>36982</v>
          </cell>
          <cell r="I125">
            <v>37165</v>
          </cell>
          <cell r="J125">
            <v>37072</v>
          </cell>
        </row>
        <row r="126">
          <cell r="A126">
            <v>124</v>
          </cell>
          <cell r="C126" t="str">
            <v>Красноармейский</v>
          </cell>
          <cell r="D126" t="str">
            <v>Темрюк - Краснодар - Кропоткин ;  км: 65+100</v>
          </cell>
          <cell r="F126" t="str">
            <v>Устройство переходно-скоростных полос</v>
          </cell>
          <cell r="G126" t="str">
            <v>Район: Красноармейский \ Темрюк - Краснодар - Кропоткин ;  км: 65+100 \ Устройство переходно-скоростных полос</v>
          </cell>
          <cell r="H126">
            <v>36982</v>
          </cell>
          <cell r="I126">
            <v>37165</v>
          </cell>
          <cell r="J126">
            <v>37072</v>
          </cell>
        </row>
        <row r="127">
          <cell r="A127">
            <v>125</v>
          </cell>
          <cell r="C127" t="str">
            <v>Красноармейский</v>
          </cell>
          <cell r="D127" t="str">
            <v>Подъезд к ж/д ст.Полтавская ;  км: 2+150</v>
          </cell>
          <cell r="F127" t="str">
            <v>Ремонт покрытия на съездах</v>
          </cell>
          <cell r="G127" t="str">
            <v>Район: Красноармейский \ Подъезд к ж/д ст.Полтавская ;  км: 2+150 \ Ремонт покрытия на съездах</v>
          </cell>
          <cell r="H127">
            <v>36982</v>
          </cell>
          <cell r="I127">
            <v>37165</v>
          </cell>
          <cell r="J127">
            <v>37072</v>
          </cell>
        </row>
        <row r="128">
          <cell r="A128">
            <v>126</v>
          </cell>
          <cell r="C128" t="str">
            <v>Красноармейский</v>
          </cell>
          <cell r="D128" t="str">
            <v>Полтавская - Чебурголь - Гривенская ;  км: 1+950</v>
          </cell>
          <cell r="F128" t="str">
            <v>Ремонт покрытия на съездах</v>
          </cell>
          <cell r="G128" t="str">
            <v>Район: Красноармейский \ Полтавская - Чебурголь - Гривенская ;  км: 1+950 \ Ремонт покрытия на съездах</v>
          </cell>
          <cell r="H128">
            <v>36982</v>
          </cell>
          <cell r="I128">
            <v>37165</v>
          </cell>
          <cell r="J128">
            <v>37072</v>
          </cell>
        </row>
        <row r="129">
          <cell r="A129">
            <v>127</v>
          </cell>
          <cell r="C129" t="str">
            <v>Красноармейский</v>
          </cell>
          <cell r="D129" t="str">
            <v>Подъезд к ж/д ст.Полтавская ;  км: 0+650</v>
          </cell>
          <cell r="F129" t="str">
            <v>Ремонт покрытия на съездах</v>
          </cell>
          <cell r="G129" t="str">
            <v>Район: Красноармейский \ Подъезд к ж/д ст.Полтавская ;  км: 0+650 \ Ремонт покрытия на съездах</v>
          </cell>
          <cell r="H129">
            <v>36982</v>
          </cell>
          <cell r="I129">
            <v>37165</v>
          </cell>
          <cell r="J129">
            <v>37072</v>
          </cell>
        </row>
        <row r="130">
          <cell r="A130">
            <v>128</v>
          </cell>
          <cell r="C130" t="str">
            <v>Красноармейский</v>
          </cell>
          <cell r="D130" t="str">
            <v>Трудобеликовский - Полтавская - Гривенская ;  км: 9+900</v>
          </cell>
          <cell r="F130" t="str">
            <v>Ремонт покрытия на съездах</v>
          </cell>
          <cell r="G130" t="str">
            <v>Район: Красноармейский \ Трудобеликовский - Полтавская - Гривенская ;  км: 9+900 \ Ремонт покрытия на съездах</v>
          </cell>
          <cell r="H130">
            <v>36982</v>
          </cell>
          <cell r="I130">
            <v>37165</v>
          </cell>
          <cell r="J130">
            <v>37072</v>
          </cell>
        </row>
        <row r="131">
          <cell r="A131">
            <v>129</v>
          </cell>
          <cell r="C131" t="str">
            <v>Красноармейский</v>
          </cell>
          <cell r="D131" t="str">
            <v>Темрюк - Краснодар - Кропоткин ;  км: 64+700-120+000</v>
          </cell>
          <cell r="F131" t="str">
            <v>Устройство съездов с твердым покрытием</v>
          </cell>
          <cell r="G131" t="str">
            <v>Район: Красноармейский \ Темрюк - Краснодар - Кропоткин ;  км: 64+700-120+000 \ Устройство съездов с твердым покрытием</v>
          </cell>
          <cell r="H131">
            <v>36982</v>
          </cell>
          <cell r="I131">
            <v>37165</v>
          </cell>
          <cell r="J131">
            <v>37072</v>
          </cell>
        </row>
        <row r="132">
          <cell r="A132">
            <v>130</v>
          </cell>
          <cell r="C132" t="str">
            <v>Красноармейский</v>
          </cell>
          <cell r="D132" t="str">
            <v>Тимашевск - Славянск-на-Кубани - Крымск ;  км: 38+100-87+506</v>
          </cell>
          <cell r="F132" t="str">
            <v>Устройство съездов с твердым покрытием</v>
          </cell>
          <cell r="G132" t="str">
            <v>Район: Красноармейский \ Тимашевск - Славянск-на-Кубани - Крымск ;  км: 38+100-87+506 \ Устройство съездов с твердым покрытием</v>
          </cell>
          <cell r="H132">
            <v>36982</v>
          </cell>
          <cell r="I132">
            <v>37165</v>
          </cell>
          <cell r="J132">
            <v>37072</v>
          </cell>
        </row>
        <row r="133">
          <cell r="A133">
            <v>131</v>
          </cell>
          <cell r="C133" t="str">
            <v>Красноармейский</v>
          </cell>
          <cell r="D133" t="str">
            <v>Тимашевск - Славянск-на-Кубани - Крымск ;  км: 68+500</v>
          </cell>
          <cell r="F133" t="str">
            <v>Ремонт остановочных площадок</v>
          </cell>
          <cell r="G133" t="str">
            <v>Район: Красноармейский \ Тимашевск - Славянск-на-Кубани - Крымск ;  км: 68+500 \ Ремонт остановочных площадок</v>
          </cell>
          <cell r="H133">
            <v>36982</v>
          </cell>
          <cell r="I133">
            <v>37165</v>
          </cell>
          <cell r="J133">
            <v>37072</v>
          </cell>
        </row>
        <row r="134">
          <cell r="A134">
            <v>132</v>
          </cell>
          <cell r="C134" t="str">
            <v>Красноармейский</v>
          </cell>
          <cell r="D134" t="str">
            <v>Новомышастовская - Федоровский гидроузел ;  км: 0+100</v>
          </cell>
          <cell r="F134" t="str">
            <v>Ремонт остановочных площадок</v>
          </cell>
          <cell r="G134" t="str">
            <v>Район: Красноармейский \ Новомышастовская - Федоровский гидроузел ;  км: 0+100 \ Ремонт остановочных площадок</v>
          </cell>
          <cell r="H134">
            <v>36982</v>
          </cell>
          <cell r="I134">
            <v>37165</v>
          </cell>
          <cell r="J134">
            <v>37072</v>
          </cell>
        </row>
        <row r="135">
          <cell r="A135">
            <v>133</v>
          </cell>
          <cell r="C135" t="str">
            <v>Красноармейский</v>
          </cell>
          <cell r="D135" t="str">
            <v>Темрюк - Краснодар - Кропоткин ;  км: 88+500-89+500</v>
          </cell>
          <cell r="F135" t="str">
            <v>Ремонт тротуаров и пешеходных дорожек</v>
          </cell>
          <cell r="G135" t="str">
            <v>Район: Красноармейский \ Темрюк - Краснодар - Кропоткин ;  км: 88+500-89+500 \ Ремонт тротуаров и пешеходных дорожек</v>
          </cell>
          <cell r="H135">
            <v>36982</v>
          </cell>
          <cell r="I135">
            <v>37165</v>
          </cell>
          <cell r="J135">
            <v>37072</v>
          </cell>
        </row>
        <row r="136">
          <cell r="A136">
            <v>134</v>
          </cell>
          <cell r="C136" t="str">
            <v>Красноармейский</v>
          </cell>
          <cell r="D136" t="str">
            <v>Тимашевск - Славянск-на-Кубани - Крымск ;  км: 50+200-50+600</v>
          </cell>
          <cell r="F136" t="str">
            <v>Ремонт тротуаров и пешеходных дорожек</v>
          </cell>
          <cell r="G136" t="str">
            <v>Район: Красноармейский \ Тимашевск - Славянск-на-Кубани - Крымск ;  км: 50+200-50+600 \ Ремонт тротуаров и пешеходных дорожек</v>
          </cell>
          <cell r="H136">
            <v>36982</v>
          </cell>
          <cell r="I136">
            <v>37165</v>
          </cell>
          <cell r="J136">
            <v>37072</v>
          </cell>
        </row>
        <row r="137">
          <cell r="A137">
            <v>135</v>
          </cell>
          <cell r="C137" t="str">
            <v>Крыловский</v>
          </cell>
          <cell r="D137" t="str">
            <v>Темп - Решитиловский ;  км: 0+000-25+300</v>
          </cell>
          <cell r="F137" t="str">
            <v>Поверхностная обработка (II вариант)</v>
          </cell>
          <cell r="G137" t="str">
            <v>Район: Крыловский \ Темп - Решитиловский ;  км: 0+000-25+300 \ Поверхностная обработка (II вариант)</v>
          </cell>
          <cell r="H137">
            <v>36982</v>
          </cell>
          <cell r="I137">
            <v>37165</v>
          </cell>
          <cell r="J137">
            <v>37072</v>
          </cell>
        </row>
        <row r="138">
          <cell r="A138">
            <v>136</v>
          </cell>
          <cell r="C138" t="str">
            <v>Крыловский</v>
          </cell>
          <cell r="D138" t="str">
            <v>Крыловская - Новопашковское - Тверской ;  км: 3+000-6+400 ; 23+500-26+900</v>
          </cell>
          <cell r="F138" t="str">
            <v>Поверхностная обработка (II вариант)</v>
          </cell>
          <cell r="G138" t="str">
            <v>Район: Крыловский \ Крыловская - Новопашковское - Тверской ;  км: 3+000-6+400 ; 23+500-26+900 \ Поверхностная обработка (II вариант)</v>
          </cell>
          <cell r="H138">
            <v>36982</v>
          </cell>
          <cell r="I138">
            <v>37165</v>
          </cell>
          <cell r="J138">
            <v>37072</v>
          </cell>
        </row>
        <row r="139">
          <cell r="A139">
            <v>137</v>
          </cell>
          <cell r="C139" t="str">
            <v>Крымский</v>
          </cell>
          <cell r="D139" t="str">
            <v>Тимашевск-Славянск-Крымск км 109+800-112+250,112+800-114+000</v>
          </cell>
          <cell r="F139" t="str">
            <v>Устройство ограждения</v>
          </cell>
          <cell r="G139" t="str">
            <v>Район: Крымский \ Тимашевск-Славянск-Крымск км 109+800-112+250,112+800-114+000 \ Устройство ограждения</v>
          </cell>
          <cell r="H139">
            <v>36982</v>
          </cell>
          <cell r="I139">
            <v>37165</v>
          </cell>
          <cell r="J139">
            <v>37072</v>
          </cell>
        </row>
        <row r="140">
          <cell r="A140">
            <v>138</v>
          </cell>
          <cell r="C140" t="str">
            <v>Крымский</v>
          </cell>
          <cell r="D140" t="str">
            <v>Андреева Гора-Варениковская-Анапа км 9+500-10+575</v>
          </cell>
          <cell r="F140" t="str">
            <v>Устройство ограждения</v>
          </cell>
          <cell r="G140" t="str">
            <v>Район: Крымский \ Андреева Гора-Варениковская-Анапа км 9+500-10+575 \ Устройство ограждения</v>
          </cell>
          <cell r="H140">
            <v>36982</v>
          </cell>
          <cell r="I140">
            <v>37165</v>
          </cell>
          <cell r="J140">
            <v>37072</v>
          </cell>
        </row>
        <row r="141">
          <cell r="A141">
            <v>139</v>
          </cell>
          <cell r="C141" t="str">
            <v>Крымский</v>
          </cell>
          <cell r="D141" t="str">
            <v>Подъезд к х.Адагум, км 0+000 - км 3+490</v>
          </cell>
          <cell r="F141" t="str">
            <v>Поверхностная обработка (II вариант)</v>
          </cell>
          <cell r="G141" t="str">
            <v>Район: Крымский \ Подъезд к х.Адагум, км 0+000 - км 3+490 \ Поверхностная обработка (II вариант)</v>
          </cell>
          <cell r="H141">
            <v>36982</v>
          </cell>
          <cell r="I141">
            <v>37165</v>
          </cell>
          <cell r="J141">
            <v>37072</v>
          </cell>
        </row>
        <row r="142">
          <cell r="A142">
            <v>140</v>
          </cell>
          <cell r="C142" t="str">
            <v>Крымский</v>
          </cell>
          <cell r="D142" t="str">
            <v>Подъезд к Богогоевскому карьеру, км 0+000 - км 5+220</v>
          </cell>
          <cell r="F142" t="str">
            <v>Поверхностная обработка (II вариант)</v>
          </cell>
          <cell r="G142" t="str">
            <v>Район: Крымский \ Подъезд к Богогоевскому карьеру, км 0+000 - км 5+220 \ Поверхностная обработка (II вариант)</v>
          </cell>
          <cell r="H142">
            <v>36982</v>
          </cell>
          <cell r="I142">
            <v>37165</v>
          </cell>
          <cell r="J142">
            <v>37072</v>
          </cell>
        </row>
        <row r="143">
          <cell r="A143">
            <v>141</v>
          </cell>
          <cell r="C143" t="str">
            <v>Крымский</v>
          </cell>
          <cell r="D143" t="str">
            <v>Крымск - Аккерменка ;  км: 18+300-24+000</v>
          </cell>
          <cell r="F143" t="str">
            <v>Капитальный ремонт с усилением дорожной одежды</v>
          </cell>
          <cell r="G143" t="str">
            <v>Район: Крымский \ Крымск - Аккерменка ;  км: 18+300-24+000 \ Капитальный ремонт с усилением дорожной одежды</v>
          </cell>
          <cell r="H143">
            <v>36982</v>
          </cell>
          <cell r="I143">
            <v>37165</v>
          </cell>
          <cell r="J143">
            <v>37072</v>
          </cell>
        </row>
        <row r="144">
          <cell r="A144">
            <v>142</v>
          </cell>
          <cell r="C144" t="str">
            <v>Курганинский</v>
          </cell>
          <cell r="D144" t="str">
            <v>Усть-Лабинск - Лабинск - Упорная ;  км: 85+000-93+300</v>
          </cell>
          <cell r="F144" t="str">
            <v>Поверхностная обработка (II вариант)</v>
          </cell>
          <cell r="G144" t="str">
            <v>Район: Курганинский \ Усть-Лабинск - Лабинск - Упорная ;  км: 85+000-93+300 \ Поверхностная обработка (II вариант)</v>
          </cell>
          <cell r="H144">
            <v>36982</v>
          </cell>
          <cell r="I144">
            <v>37165</v>
          </cell>
          <cell r="J144">
            <v>37072</v>
          </cell>
        </row>
        <row r="145">
          <cell r="A145">
            <v>143</v>
          </cell>
          <cell r="C145" t="str">
            <v>Курганинский</v>
          </cell>
          <cell r="D145" t="str">
            <v>Усть-Лабинск -Лабинск-Упорная ;  км: 60+000-63+500</v>
          </cell>
          <cell r="F145" t="str">
            <v>Поверхностная обработка (II вариант)</v>
          </cell>
          <cell r="G145" t="str">
            <v>Район: Курганинский \ Усть-Лабинск -Лабинск-Упорная ;  км: 60+000-63+500 \ Поверхностная обработка (II вариант)</v>
          </cell>
          <cell r="H145">
            <v>36982</v>
          </cell>
          <cell r="I145">
            <v>37165</v>
          </cell>
          <cell r="J145">
            <v>37072</v>
          </cell>
        </row>
        <row r="146">
          <cell r="A146">
            <v>144</v>
          </cell>
          <cell r="C146" t="str">
            <v>Курганинский</v>
          </cell>
          <cell r="D146" t="str">
            <v>Михайловская-Южный ;  км: 0+000-2+200</v>
          </cell>
          <cell r="F146" t="str">
            <v>Поверхностная обработка (II вариант)</v>
          </cell>
          <cell r="G146" t="str">
            <v>Район: Курганинский \ Михайловская-Южный ;  км: 0+000-2+200 \ Поверхностная обработка (II вариант)</v>
          </cell>
          <cell r="H146">
            <v>36982</v>
          </cell>
          <cell r="I146">
            <v>37165</v>
          </cell>
          <cell r="J146">
            <v>37072</v>
          </cell>
        </row>
        <row r="147">
          <cell r="A147">
            <v>145</v>
          </cell>
          <cell r="C147" t="str">
            <v>Курганинский</v>
          </cell>
          <cell r="D147" t="str">
            <v>Усть-Лабинск - Лабинск - Упорная ;  км: 93+300-100+300 (на участке 93+300-96+300)</v>
          </cell>
          <cell r="F147" t="str">
            <v>Облегченный ремонт - III вариант</v>
          </cell>
          <cell r="G147" t="str">
            <v>Район: Курганинский \ Усть-Лабинск - Лабинск - Упорная ;  км: 93+300-100+300 (на участке 93+300-96+300) \ Облегченный ремонт - III вариант</v>
          </cell>
          <cell r="H147">
            <v>36982</v>
          </cell>
          <cell r="I147">
            <v>37165</v>
          </cell>
          <cell r="J147">
            <v>37072</v>
          </cell>
        </row>
        <row r="148">
          <cell r="A148">
            <v>146</v>
          </cell>
          <cell r="C148" t="str">
            <v>Курганинский</v>
          </cell>
          <cell r="D148" t="str">
            <v>Усть-Лабинск - Лабинск - Упорная ;  км: 100+300-101+940</v>
          </cell>
          <cell r="F148" t="str">
            <v>Уширение земполотна и проезжей части (комплекс)</v>
          </cell>
          <cell r="G148" t="str">
            <v>Район: Курганинский \ Усть-Лабинск - Лабинск - Упорная ;  км: 100+300-101+940 \ Уширение земполотна и проезжей части (комплекс)</v>
          </cell>
          <cell r="H148">
            <v>36982</v>
          </cell>
          <cell r="I148">
            <v>37165</v>
          </cell>
          <cell r="J148">
            <v>37072</v>
          </cell>
        </row>
        <row r="149">
          <cell r="A149">
            <v>147</v>
          </cell>
          <cell r="C149" t="str">
            <v>Курганинский</v>
          </cell>
          <cell r="D149" t="str">
            <v>Родниковская - Новоалексеевская ;  км: 0+200 ; 2+457</v>
          </cell>
          <cell r="F149" t="str">
            <v>Ремонт водопропускных труб</v>
          </cell>
          <cell r="G149" t="str">
            <v>Район: Курганинский \ Родниковская - Новоалексеевская ;  км: 0+200 ; 2+457 \ Ремонт водопропускных труб</v>
          </cell>
          <cell r="H149">
            <v>36982</v>
          </cell>
          <cell r="I149">
            <v>37165</v>
          </cell>
          <cell r="J149">
            <v>37072</v>
          </cell>
        </row>
        <row r="150">
          <cell r="A150">
            <v>148</v>
          </cell>
          <cell r="C150" t="str">
            <v>Курганинский</v>
          </cell>
          <cell r="D150" t="str">
            <v>Михайловская - Южный ;  км: 0+020</v>
          </cell>
          <cell r="F150" t="str">
            <v>Ремонт водопропускных труб</v>
          </cell>
          <cell r="G150" t="str">
            <v>Район: Курганинский \ Михайловская - Южный ;  км: 0+020 \ Ремонт водопропускных труб</v>
          </cell>
          <cell r="H150">
            <v>36982</v>
          </cell>
          <cell r="I150">
            <v>37165</v>
          </cell>
          <cell r="J150">
            <v>37072</v>
          </cell>
        </row>
        <row r="151">
          <cell r="A151">
            <v>149</v>
          </cell>
          <cell r="C151" t="str">
            <v>Курганинский</v>
          </cell>
          <cell r="D151" t="str">
            <v>Армавир - Курганинск ;  км: 31+950</v>
          </cell>
          <cell r="F151" t="str">
            <v>Ремонт водопропускных труб</v>
          </cell>
          <cell r="G151" t="str">
            <v>Район: Курганинский \ Армавир - Курганинск ;  км: 31+950 \ Ремонт водопропускных труб</v>
          </cell>
          <cell r="H151">
            <v>36982</v>
          </cell>
          <cell r="I151">
            <v>37165</v>
          </cell>
          <cell r="J151">
            <v>37072</v>
          </cell>
        </row>
        <row r="152">
          <cell r="A152">
            <v>150</v>
          </cell>
          <cell r="C152" t="str">
            <v>Курганинский</v>
          </cell>
          <cell r="D152" t="str">
            <v>Подъезд к г.Курганинск ;  км: 0+300; 1+750</v>
          </cell>
          <cell r="F152" t="str">
            <v>Ремонт водопропускных труб</v>
          </cell>
          <cell r="G152" t="str">
            <v>Район: Курганинский \ Подъезд к г.Курганинск ;  км: 0+300; 1+750 \ Ремонт водопропускных труб</v>
          </cell>
          <cell r="H152">
            <v>36982</v>
          </cell>
          <cell r="I152">
            <v>37165</v>
          </cell>
          <cell r="J152">
            <v>37072</v>
          </cell>
        </row>
        <row r="153">
          <cell r="A153">
            <v>151</v>
          </cell>
          <cell r="C153" t="str">
            <v>Кущевский</v>
          </cell>
          <cell r="D153" t="str">
            <v>Подъезд к    п.Первомайский ;  км: 6+000-7+700</v>
          </cell>
          <cell r="F153" t="str">
            <v>Поверхностная обработка (II вариант)</v>
          </cell>
          <cell r="G153" t="str">
            <v>Район: Кущевский \ Подъезд к    п.Первомайский ;  км: 6+000-7+700 \ Поверхностная обработка (II вариант)</v>
          </cell>
          <cell r="H153">
            <v>36982</v>
          </cell>
          <cell r="I153">
            <v>37165</v>
          </cell>
          <cell r="J153">
            <v>37072</v>
          </cell>
        </row>
        <row r="154">
          <cell r="A154">
            <v>152</v>
          </cell>
          <cell r="C154" t="str">
            <v>Кущевский</v>
          </cell>
          <cell r="D154" t="str">
            <v>Красное - Средние Чубурки ;  км: 0+000-6+000 ; 17+000-20+900</v>
          </cell>
          <cell r="F154" t="str">
            <v>Поверхностная обработка (II вариант)</v>
          </cell>
          <cell r="G154" t="str">
            <v>Район: Кущевский \ Красное - Средние Чубурки ;  км: 0+000-6+000 ; 17+000-20+900 \ Поверхностная обработка (II вариант)</v>
          </cell>
          <cell r="H154">
            <v>36982</v>
          </cell>
          <cell r="I154">
            <v>37165</v>
          </cell>
          <cell r="J154">
            <v>37072</v>
          </cell>
        </row>
        <row r="155">
          <cell r="A155">
            <v>153</v>
          </cell>
          <cell r="C155" t="str">
            <v>Кущевский</v>
          </cell>
          <cell r="D155" t="str">
            <v>Подъезд к  п.Комсомольский ;  км: 0+000-14+700</v>
          </cell>
          <cell r="F155" t="str">
            <v>Поверхностная обработка (II вариант)</v>
          </cell>
          <cell r="G155" t="str">
            <v>Район: Кущевский \ Подъезд к  п.Комсомольский ;  км: 0+000-14+700 \ Поверхностная обработка (II вариант)</v>
          </cell>
          <cell r="H155">
            <v>36982</v>
          </cell>
          <cell r="I155">
            <v>37165</v>
          </cell>
          <cell r="J155">
            <v>37072</v>
          </cell>
        </row>
        <row r="156">
          <cell r="A156">
            <v>154</v>
          </cell>
          <cell r="C156" t="str">
            <v>Кущевский</v>
          </cell>
          <cell r="D156" t="str">
            <v>Алексеевская - Полтавченское ;  км: 3+500-5+000</v>
          </cell>
          <cell r="F156" t="str">
            <v>Поверхностная обработка (II вариант)</v>
          </cell>
          <cell r="G156" t="str">
            <v>Район: Кущевский \ Алексеевская - Полтавченское ;  км: 3+500-5+000 \ Поверхностная обработка (II вариант)</v>
          </cell>
          <cell r="H156">
            <v>36982</v>
          </cell>
          <cell r="I156">
            <v>37165</v>
          </cell>
          <cell r="J156">
            <v>37072</v>
          </cell>
        </row>
        <row r="157">
          <cell r="A157">
            <v>155</v>
          </cell>
          <cell r="C157" t="str">
            <v>Кущевский</v>
          </cell>
          <cell r="D157" t="str">
            <v>Подъезд к х.Глебовка ;  км: 0+000-15+000</v>
          </cell>
          <cell r="F157" t="str">
            <v>Поверхностная обработка (II вариант)</v>
          </cell>
          <cell r="G157" t="str">
            <v>Район: Кущевский \ Подъезд к х.Глебовка ;  км: 0+000-15+000 \ Поверхностная обработка (II вариант)</v>
          </cell>
          <cell r="H157">
            <v>36982</v>
          </cell>
          <cell r="I157">
            <v>37165</v>
          </cell>
          <cell r="J157">
            <v>37072</v>
          </cell>
        </row>
        <row r="158">
          <cell r="A158">
            <v>156</v>
          </cell>
          <cell r="C158" t="str">
            <v>Кущевский</v>
          </cell>
          <cell r="D158" t="str">
            <v>Подъезд к ХПП ;  км: 1+200-4+900</v>
          </cell>
          <cell r="F158" t="str">
            <v>Облегченный ремонт - III вариант</v>
          </cell>
          <cell r="G158" t="str">
            <v>Район: Кущевский \ Подъезд к ХПП ;  км: 1+200-4+900 \ Облегченный ремонт - III вариант</v>
          </cell>
          <cell r="H158">
            <v>36982</v>
          </cell>
          <cell r="I158">
            <v>37165</v>
          </cell>
          <cell r="J158">
            <v>37072</v>
          </cell>
        </row>
        <row r="159">
          <cell r="A159">
            <v>157</v>
          </cell>
          <cell r="C159" t="str">
            <v>Ленинградский</v>
          </cell>
          <cell r="D159" t="str">
            <v>Новоплатнировская - Ленинградская - Павловская ;  км: 3+820-11+260</v>
          </cell>
          <cell r="F159" t="str">
            <v>Поверхностная обработка (II вариант)</v>
          </cell>
          <cell r="G159" t="str">
            <v>Район: Ленинградский \ Новоплатнировская - Ленинградская - Павловская ;  км: 3+820-11+260 \ Поверхностная обработка (II вариант)</v>
          </cell>
          <cell r="H159">
            <v>36982</v>
          </cell>
          <cell r="I159">
            <v>37165</v>
          </cell>
          <cell r="J159">
            <v>37072</v>
          </cell>
        </row>
        <row r="160">
          <cell r="A160">
            <v>158</v>
          </cell>
          <cell r="C160" t="str">
            <v>Ленинградский</v>
          </cell>
          <cell r="D160" t="str">
            <v>Образцовый - Новоплатнировская - Крыловская ;  км: 0+000-10+150</v>
          </cell>
          <cell r="F160" t="str">
            <v>Поверхностная обработка (II вариант)</v>
          </cell>
          <cell r="G160" t="str">
            <v>Район: Ленинградский \ Образцовый - Новоплатнировская - Крыловская ;  км: 0+000-10+150 \ Поверхностная обработка (II вариант)</v>
          </cell>
          <cell r="H160">
            <v>36982</v>
          </cell>
          <cell r="I160">
            <v>37165</v>
          </cell>
          <cell r="J160">
            <v>37072</v>
          </cell>
        </row>
        <row r="161">
          <cell r="A161">
            <v>159</v>
          </cell>
          <cell r="C161" t="str">
            <v>Ленинградский</v>
          </cell>
          <cell r="D161" t="str">
            <v>Подъезд к х.Западный ;  км: 0+000-4+300</v>
          </cell>
          <cell r="F161" t="str">
            <v>Поверхностная обработка (II вариант)</v>
          </cell>
          <cell r="G161" t="str">
            <v>Район: Ленинградский \ Подъезд к х.Западный ;  км: 0+000-4+300 \ Поверхностная обработка (II вариант)</v>
          </cell>
          <cell r="H161">
            <v>36982</v>
          </cell>
          <cell r="I161">
            <v>37165</v>
          </cell>
          <cell r="J161">
            <v>37072</v>
          </cell>
        </row>
        <row r="162">
          <cell r="A162">
            <v>160</v>
          </cell>
          <cell r="C162" t="str">
            <v>Мостовский</v>
          </cell>
          <cell r="D162" t="str">
            <v>Ходзь - Мостовской - Соленое ;  км: 173+700-181+200</v>
          </cell>
          <cell r="F162" t="str">
            <v>Поверхностная обработка (II вариант)</v>
          </cell>
          <cell r="G162" t="str">
            <v>Район: Мостовский \ Ходзь - Мостовской - Соленое ;  км: 173+700-181+200 \ Поверхностная обработка (II вариант)</v>
          </cell>
          <cell r="H162">
            <v>36982</v>
          </cell>
          <cell r="I162">
            <v>37165</v>
          </cell>
          <cell r="J162">
            <v>37072</v>
          </cell>
        </row>
        <row r="163">
          <cell r="A163">
            <v>161</v>
          </cell>
          <cell r="C163" t="str">
            <v>Мостовский</v>
          </cell>
          <cell r="D163" t="str">
            <v>Ходзь - Мостовской - Соленое ;  км: 197+500-202+400</v>
          </cell>
          <cell r="F163" t="str">
            <v>Поверхностная обработка (II вариант)</v>
          </cell>
          <cell r="G163" t="str">
            <v>Район: Мостовский \ Ходзь - Мостовской - Соленое ;  км: 197+500-202+400 \ Поверхностная обработка (II вариант)</v>
          </cell>
          <cell r="H163">
            <v>36982</v>
          </cell>
          <cell r="I163">
            <v>37165</v>
          </cell>
          <cell r="J163">
            <v>37072</v>
          </cell>
        </row>
        <row r="164">
          <cell r="A164">
            <v>162</v>
          </cell>
          <cell r="C164" t="str">
            <v>Мостовский</v>
          </cell>
          <cell r="D164" t="str">
            <v>Ярославская - Унароково ;  км: 16+000-21+800</v>
          </cell>
          <cell r="F164" t="str">
            <v>Поверхностная обработка (II вариант)</v>
          </cell>
          <cell r="G164" t="str">
            <v>Район: Мостовский \ Ярославская - Унароково ;  км: 16+000-21+800 \ Поверхностная обработка (II вариант)</v>
          </cell>
          <cell r="H164">
            <v>36982</v>
          </cell>
          <cell r="I164">
            <v>37165</v>
          </cell>
          <cell r="J164">
            <v>37072</v>
          </cell>
        </row>
        <row r="165">
          <cell r="A165">
            <v>163</v>
          </cell>
          <cell r="C165" t="str">
            <v>Мостовский</v>
          </cell>
          <cell r="D165" t="str">
            <v>Мостовской - Хамкетинская ;  км: 17+000-21+000</v>
          </cell>
          <cell r="F165" t="str">
            <v>Облегченный ремонт - III вариант</v>
          </cell>
          <cell r="G165" t="str">
            <v>Район: Мостовский \ Мостовской - Хамкетинская ;  км: 17+000-21+000 \ Облегченный ремонт - III вариант</v>
          </cell>
          <cell r="H165">
            <v>36982</v>
          </cell>
          <cell r="I165">
            <v>37165</v>
          </cell>
          <cell r="J165">
            <v>37072</v>
          </cell>
        </row>
        <row r="166">
          <cell r="A166">
            <v>164</v>
          </cell>
          <cell r="C166" t="str">
            <v>Мостовский</v>
          </cell>
          <cell r="D166" t="str">
            <v>Ярославская - Унароково ;  км: 12+500-14+200</v>
          </cell>
          <cell r="F166" t="str">
            <v>Перевод гравийных и щебеночных дорог в а/б с пов.обр</v>
          </cell>
          <cell r="G166" t="str">
            <v>Район: Мостовский \ Ярославская - Унароково ;  км: 12+500-14+200 \ Перевод гравийных и щебеночных дорог в а/б с пов.обр</v>
          </cell>
          <cell r="H166">
            <v>36982</v>
          </cell>
          <cell r="I166">
            <v>37165</v>
          </cell>
          <cell r="J166">
            <v>37072</v>
          </cell>
        </row>
        <row r="167">
          <cell r="A167">
            <v>165</v>
          </cell>
          <cell r="C167" t="str">
            <v>Новокубанский</v>
          </cell>
          <cell r="D167" t="str">
            <v>Обход г.Новокубанск ;  км: 5+000-8+600</v>
          </cell>
          <cell r="F167" t="str">
            <v>Поверхностная обработка (II вариант)</v>
          </cell>
          <cell r="G167" t="str">
            <v>Район: Новокубанский \ Обход г.Новокубанск ;  км: 5+000-8+600 \ Поверхностная обработка (II вариант)</v>
          </cell>
          <cell r="H167">
            <v>36982</v>
          </cell>
          <cell r="I167">
            <v>37165</v>
          </cell>
          <cell r="J167">
            <v>37072</v>
          </cell>
        </row>
        <row r="168">
          <cell r="A168">
            <v>166</v>
          </cell>
          <cell r="C168" t="str">
            <v>Новокубанский</v>
          </cell>
          <cell r="D168" t="str">
            <v>Новокубанск - Ляпино - Камышеваха ;  км: 2+320-2+320</v>
          </cell>
          <cell r="F168" t="str">
            <v>Восстановление берегозащитных сооружений</v>
          </cell>
          <cell r="G168" t="str">
            <v>Район: Новокубанский \ Новокубанск - Ляпино - Камышеваха ;  км: 2+320-2+320 \ Восстановление берегозащитных сооружений</v>
          </cell>
          <cell r="H168">
            <v>36982</v>
          </cell>
          <cell r="I168">
            <v>37165</v>
          </cell>
          <cell r="J168">
            <v>37072</v>
          </cell>
        </row>
        <row r="169">
          <cell r="A169">
            <v>167</v>
          </cell>
          <cell r="C169" t="str">
            <v>Новопокровский</v>
          </cell>
          <cell r="D169" t="str">
            <v>Сальск - Тихорецк ;  км: 35+194-55+088</v>
          </cell>
          <cell r="F169" t="str">
            <v>Поверхностная обработка (II вариант)</v>
          </cell>
          <cell r="G169" t="str">
            <v>Район: Новопокровский \ Сальск - Тихорецк ;  км: 35+194-55+088 \ Поверхностная обработка (II вариант)</v>
          </cell>
          <cell r="H169">
            <v>36982</v>
          </cell>
          <cell r="I169">
            <v>37165</v>
          </cell>
          <cell r="J169">
            <v>37072</v>
          </cell>
        </row>
        <row r="170">
          <cell r="A170">
            <v>168</v>
          </cell>
          <cell r="C170" t="str">
            <v>Новопокровский</v>
          </cell>
          <cell r="D170" t="str">
            <v>Кавказская - Новопокровская ;  км: 57+260-63+260</v>
          </cell>
          <cell r="F170" t="str">
            <v>Поверхностная обработка (II вариант)</v>
          </cell>
          <cell r="G170" t="str">
            <v>Район: Новопокровский \ Кавказская - Новопокровская ;  км: 57+260-63+260 \ Поверхностная обработка (II вариант)</v>
          </cell>
          <cell r="H170">
            <v>36982</v>
          </cell>
          <cell r="I170">
            <v>37165</v>
          </cell>
          <cell r="J170">
            <v>37072</v>
          </cell>
        </row>
        <row r="171">
          <cell r="A171">
            <v>169</v>
          </cell>
          <cell r="C171" t="str">
            <v>Новопокровский</v>
          </cell>
          <cell r="D171" t="str">
            <v>Новопокровская-Плоская ;  км: 36+300-37+800</v>
          </cell>
          <cell r="F171" t="str">
            <v>Облегченный ремонт - III вариант</v>
          </cell>
          <cell r="G171" t="str">
            <v>Район: Новопокровский \ Новопокровская-Плоская ;  км: 36+300-37+800 \ Облегченный ремонт - III вариант</v>
          </cell>
          <cell r="H171">
            <v>36982</v>
          </cell>
          <cell r="I171">
            <v>37165</v>
          </cell>
          <cell r="J171">
            <v>37072</v>
          </cell>
        </row>
        <row r="172">
          <cell r="A172">
            <v>170</v>
          </cell>
          <cell r="C172" t="str">
            <v>Отрадненский</v>
          </cell>
          <cell r="D172" t="str">
            <v>Отрадная - Спокойная ;  км: 8+500-13+200</v>
          </cell>
          <cell r="F172" t="str">
            <v>Поверхностная обработка (II вариант)</v>
          </cell>
          <cell r="G172" t="str">
            <v>Район: Отрадненский \ Отрадная - Спокойная ;  км: 8+500-13+200 \ Поверхностная обработка (II вариант)</v>
          </cell>
          <cell r="H172">
            <v>36982</v>
          </cell>
          <cell r="I172">
            <v>37165</v>
          </cell>
          <cell r="J172">
            <v>37072</v>
          </cell>
        </row>
        <row r="173">
          <cell r="A173">
            <v>171</v>
          </cell>
          <cell r="C173" t="str">
            <v>Отрадненский</v>
          </cell>
          <cell r="D173" t="str">
            <v>Отрадная - Муравьи ;  км: 1+800-4+500 ; 9+000-15+800</v>
          </cell>
          <cell r="F173" t="str">
            <v>Поверхностная обработка (II вариант)</v>
          </cell>
          <cell r="G173" t="str">
            <v>Район: Отрадненский \ Отрадная - Муравьи ;  км: 1+800-4+500 ; 9+000-15+800 \ Поверхностная обработка (II вариант)</v>
          </cell>
          <cell r="H173">
            <v>36982</v>
          </cell>
          <cell r="I173">
            <v>37165</v>
          </cell>
          <cell r="J173">
            <v>37072</v>
          </cell>
        </row>
        <row r="174">
          <cell r="A174">
            <v>172</v>
          </cell>
          <cell r="C174" t="str">
            <v>Отрадненский</v>
          </cell>
          <cell r="D174" t="str">
            <v>Отрадная - Трактовый ;  км: 4+500-15+000</v>
          </cell>
          <cell r="F174" t="str">
            <v>Поверхностная обработка (II вариант)</v>
          </cell>
          <cell r="G174" t="str">
            <v>Район: Отрадненский \ Отрадная - Трактовый ;  км: 4+500-15+000 \ Поверхностная обработка (II вариант)</v>
          </cell>
          <cell r="H174">
            <v>36982</v>
          </cell>
          <cell r="I174">
            <v>37165</v>
          </cell>
          <cell r="J174">
            <v>37072</v>
          </cell>
        </row>
        <row r="175">
          <cell r="A175">
            <v>173</v>
          </cell>
          <cell r="C175" t="str">
            <v>Отрадненский</v>
          </cell>
          <cell r="D175" t="str">
            <v>Подъезд к племзаводу "Урупский" ;  км: 0+000-2+100</v>
          </cell>
          <cell r="F175" t="str">
            <v>Поверхностная обработка (II вариант)</v>
          </cell>
          <cell r="G175" t="str">
            <v>Район: Отрадненский \ Подъезд к племзаводу "Урупский" ;  км: 0+000-2+100 \ Поверхностная обработка (II вариант)</v>
          </cell>
          <cell r="H175">
            <v>36982</v>
          </cell>
          <cell r="I175">
            <v>37165</v>
          </cell>
          <cell r="J175">
            <v>37072</v>
          </cell>
        </row>
        <row r="176">
          <cell r="A176">
            <v>174</v>
          </cell>
          <cell r="C176" t="str">
            <v>Отрадненский</v>
          </cell>
          <cell r="D176" t="str">
            <v>Обход ст.Отрадная ;  км: 0+000-2+100</v>
          </cell>
          <cell r="F176" t="str">
            <v>Поверхностная обработка (II вариант)</v>
          </cell>
          <cell r="G176" t="str">
            <v>Район: Отрадненский \ Обход ст.Отрадная ;  км: 0+000-2+100 \ Поверхностная обработка (II вариант)</v>
          </cell>
          <cell r="H176">
            <v>36982</v>
          </cell>
          <cell r="I176">
            <v>37165</v>
          </cell>
          <cell r="J176">
            <v>37072</v>
          </cell>
        </row>
        <row r="177">
          <cell r="A177">
            <v>175</v>
          </cell>
          <cell r="C177" t="str">
            <v>Отрадненский</v>
          </cell>
          <cell r="D177" t="str">
            <v>Попутная - Рудь ;  км: 15+000-18+800</v>
          </cell>
          <cell r="F177" t="str">
            <v>Поверхностная обработка (II вариант)</v>
          </cell>
          <cell r="G177" t="str">
            <v>Район: Отрадненский \ Попутная - Рудь ;  км: 15+000-18+800 \ Поверхностная обработка (II вариант)</v>
          </cell>
          <cell r="H177">
            <v>36982</v>
          </cell>
          <cell r="I177">
            <v>37165</v>
          </cell>
          <cell r="J177">
            <v>37072</v>
          </cell>
        </row>
        <row r="178">
          <cell r="A178">
            <v>176</v>
          </cell>
          <cell r="C178" t="str">
            <v>Отрадненский</v>
          </cell>
          <cell r="D178" t="str">
            <v>Передовая - х.Ильич ;  км: 6+600-10+600 (на участке 6+600-9+100)</v>
          </cell>
          <cell r="F178" t="str">
            <v>Перевод гравийных и щебеночных дорог в а/б с пов.обр</v>
          </cell>
          <cell r="G178" t="str">
            <v>Район: Отрадненский \ Передовая - х.Ильич ;  км: 6+600-10+600 (на участке 6+600-9+100) \ Перевод гравийных и щебеночных дорог в а/б с пов.обр</v>
          </cell>
          <cell r="H178">
            <v>36982</v>
          </cell>
          <cell r="I178">
            <v>37165</v>
          </cell>
          <cell r="J178">
            <v>37072</v>
          </cell>
        </row>
        <row r="179">
          <cell r="A179">
            <v>177</v>
          </cell>
          <cell r="C179" t="str">
            <v>Павловский</v>
          </cell>
          <cell r="D179" t="str">
            <v>Подъезд к х.Пушкин ;  км: 0+000-9+600</v>
          </cell>
          <cell r="F179" t="str">
            <v>Поверхностная обработка (II вариант)</v>
          </cell>
          <cell r="G179" t="str">
            <v>Район: Павловский \ Подъезд к х.Пушкин ;  км: 0+000-9+600 \ Поверхностная обработка (II вариант)</v>
          </cell>
          <cell r="H179">
            <v>36982</v>
          </cell>
          <cell r="I179">
            <v>37165</v>
          </cell>
          <cell r="J179">
            <v>37072</v>
          </cell>
        </row>
        <row r="180">
          <cell r="A180">
            <v>178</v>
          </cell>
          <cell r="C180" t="str">
            <v>Павловский</v>
          </cell>
          <cell r="D180" t="str">
            <v>Центр - Пляж ;  км: 0+000-4+290</v>
          </cell>
          <cell r="F180" t="str">
            <v>Облегченный ремонт - III вариант</v>
          </cell>
          <cell r="G180" t="str">
            <v>Район: Павловский \ Центр - Пляж ;  км: 0+000-4+290 \ Облегченный ремонт - III вариант</v>
          </cell>
          <cell r="H180">
            <v>36982</v>
          </cell>
          <cell r="I180">
            <v>37165</v>
          </cell>
          <cell r="J180">
            <v>37072</v>
          </cell>
        </row>
        <row r="181">
          <cell r="A181">
            <v>179</v>
          </cell>
          <cell r="C181" t="str">
            <v>Павловский</v>
          </cell>
          <cell r="D181" t="str">
            <v>Подъезд к ст.Атаманская ;  км: 0+000-3+000</v>
          </cell>
          <cell r="F181" t="str">
            <v>Облегченный ремонт - III вариант</v>
          </cell>
          <cell r="G181" t="str">
            <v>Район: Павловский \ Подъезд к ст.Атаманская ;  км: 0+000-3+000 \ Облегченный ремонт - III вариант</v>
          </cell>
          <cell r="H181">
            <v>36982</v>
          </cell>
          <cell r="I181">
            <v>37165</v>
          </cell>
          <cell r="J181">
            <v>37072</v>
          </cell>
        </row>
        <row r="182">
          <cell r="A182">
            <v>180</v>
          </cell>
          <cell r="C182" t="str">
            <v>Павловский</v>
          </cell>
          <cell r="D182" t="str">
            <v>Северный - Новолеушковская ;  км: 21+700-27+800</v>
          </cell>
          <cell r="F182" t="str">
            <v>Облегченный ремонт - III вариант</v>
          </cell>
          <cell r="G182" t="str">
            <v>Район: Павловский \ Северный - Новолеушковская ;  км: 21+700-27+800 \ Облегченный ремонт - III вариант</v>
          </cell>
          <cell r="H182">
            <v>36982</v>
          </cell>
          <cell r="I182">
            <v>37165</v>
          </cell>
          <cell r="J182">
            <v>37072</v>
          </cell>
        </row>
        <row r="183">
          <cell r="A183">
            <v>181</v>
          </cell>
          <cell r="C183" t="str">
            <v>Приморско-Ахтарский</v>
          </cell>
          <cell r="D183" t="str">
            <v>Ольгинская - Степная ;  км: 0+000-24+226</v>
          </cell>
          <cell r="F183" t="str">
            <v>Поверхностная обработка (II вариант)</v>
          </cell>
          <cell r="G183" t="str">
            <v>Район: Приморско-Ахтарский \ Ольгинская - Степная ;  км: 0+000-24+226 \ Поверхностная обработка (II вариант)</v>
          </cell>
          <cell r="H183">
            <v>36982</v>
          </cell>
          <cell r="I183">
            <v>37165</v>
          </cell>
          <cell r="J183">
            <v>37072</v>
          </cell>
        </row>
        <row r="184">
          <cell r="A184">
            <v>182</v>
          </cell>
          <cell r="C184" t="str">
            <v>Приморско-Ахтарский</v>
          </cell>
          <cell r="D184" t="str">
            <v>Тимашевск - Приморско-Ахтарск ;  км: 45+500-54+500</v>
          </cell>
          <cell r="F184" t="str">
            <v>Поверхностная обработка (II вариант)</v>
          </cell>
          <cell r="G184" t="str">
            <v>Район: Приморско-Ахтарский \ Тимашевск - Приморско-Ахтарск ;  км: 45+500-54+500 \ Поверхностная обработка (II вариант)</v>
          </cell>
          <cell r="H184">
            <v>36982</v>
          </cell>
          <cell r="I184">
            <v>37165</v>
          </cell>
          <cell r="J184">
            <v>37072</v>
          </cell>
        </row>
        <row r="185">
          <cell r="A185">
            <v>183</v>
          </cell>
          <cell r="C185" t="str">
            <v>Приморско-Ахтарский</v>
          </cell>
          <cell r="D185" t="str">
            <v>Подъезд к х.Новонекрасовский км 0+000-1+500</v>
          </cell>
          <cell r="F185" t="str">
            <v>Комплексные работы</v>
          </cell>
          <cell r="G185" t="str">
            <v>Район: Приморско-Ахтарский \ Подъезд к х.Новонекрасовский км 0+000-1+500 \ Комплексные работы</v>
          </cell>
          <cell r="H185">
            <v>36982</v>
          </cell>
          <cell r="I185">
            <v>37165</v>
          </cell>
          <cell r="J185">
            <v>37072</v>
          </cell>
        </row>
        <row r="186">
          <cell r="A186">
            <v>184</v>
          </cell>
          <cell r="C186" t="str">
            <v>Северский</v>
          </cell>
          <cell r="D186" t="str">
            <v>Стефановский - Новоивановская - Дербентская ;  км: 10+000-16+750 ; 17+350-19+800</v>
          </cell>
          <cell r="F186" t="str">
            <v>Поверхностная обработка (II вариант)</v>
          </cell>
          <cell r="G186" t="str">
            <v>Район: Северский \ Стефановский - Новоивановская - Дербентская ;  км: 10+000-16+750 ; 17+350-19+800 \ Поверхностная обработка (II вариант)</v>
          </cell>
          <cell r="H186">
            <v>36982</v>
          </cell>
          <cell r="I186">
            <v>37165</v>
          </cell>
          <cell r="J186">
            <v>37072</v>
          </cell>
        </row>
        <row r="187">
          <cell r="A187">
            <v>185</v>
          </cell>
          <cell r="C187" t="str">
            <v>Северский</v>
          </cell>
          <cell r="D187" t="str">
            <v>Афипский - Коваленко ;  км: 0+000-8+600</v>
          </cell>
          <cell r="F187" t="str">
            <v>Поверхностная обработка (II вариант)</v>
          </cell>
          <cell r="G187" t="str">
            <v>Район: Северский \ Афипский - Коваленко ;  км: 0+000-8+600 \ Поверхностная обработка (II вариант)</v>
          </cell>
          <cell r="H187">
            <v>36982</v>
          </cell>
          <cell r="I187">
            <v>37165</v>
          </cell>
          <cell r="J187">
            <v>37072</v>
          </cell>
        </row>
        <row r="188">
          <cell r="A188">
            <v>186</v>
          </cell>
          <cell r="C188" t="str">
            <v>Северский</v>
          </cell>
          <cell r="D188" t="str">
            <v>Афипский - Новодмитриевская - Горячий Ключ ;  км: 0+000-9+300</v>
          </cell>
          <cell r="F188" t="str">
            <v>Поверхностная обработка (II вариант)</v>
          </cell>
          <cell r="G188" t="str">
            <v>Район: Северский \ Афипский - Новодмитриевская - Горячий Ключ ;  км: 0+000-9+300 \ Поверхностная обработка (II вариант)</v>
          </cell>
          <cell r="H188">
            <v>36982</v>
          </cell>
          <cell r="I188">
            <v>37165</v>
          </cell>
          <cell r="J188">
            <v>37072</v>
          </cell>
        </row>
        <row r="189">
          <cell r="A189">
            <v>187</v>
          </cell>
          <cell r="C189" t="str">
            <v>Славянский</v>
          </cell>
          <cell r="D189" t="str">
            <v>Баранниковский - Семисводный - Анастасиевская ;  км: 0+000-8+750 ; 11+750-15+900</v>
          </cell>
          <cell r="F189" t="str">
            <v>Поверхностная обработка (II вариант)</v>
          </cell>
          <cell r="G189" t="str">
            <v>Район: Славянский \ Баранниковский - Семисводный - Анастасиевская ;  км: 0+000-8+750 ; 11+750-15+900 \ Поверхностная обработка (II вариант)</v>
          </cell>
          <cell r="H189">
            <v>36982</v>
          </cell>
          <cell r="I189">
            <v>37165</v>
          </cell>
          <cell r="J189">
            <v>37072</v>
          </cell>
        </row>
        <row r="190">
          <cell r="A190">
            <v>188</v>
          </cell>
          <cell r="C190" t="str">
            <v>Славянский</v>
          </cell>
          <cell r="D190" t="str">
            <v>Петровская - Черноерковская - Ачуево ;  км: 0+000-9+000</v>
          </cell>
          <cell r="F190" t="str">
            <v>Поверхностная обработка (II вариант)</v>
          </cell>
          <cell r="G190" t="str">
            <v>Район: Славянский \ Петровская - Черноерковская - Ачуево ;  км: 0+000-9+000 \ Поверхностная обработка (II вариант)</v>
          </cell>
          <cell r="H190">
            <v>36982</v>
          </cell>
          <cell r="I190">
            <v>37165</v>
          </cell>
          <cell r="J190">
            <v>37072</v>
          </cell>
        </row>
        <row r="191">
          <cell r="A191">
            <v>189</v>
          </cell>
          <cell r="C191" t="str">
            <v>Славянский</v>
          </cell>
          <cell r="D191" t="str">
            <v>Петровская - Забойский км 19</v>
          </cell>
          <cell r="F191" t="str">
            <v>Устройство автопавильонов</v>
          </cell>
          <cell r="G191" t="str">
            <v>Район: Славянский \ Петровская - Забойский км 19 \ Устройство автопавильонов</v>
          </cell>
          <cell r="H191">
            <v>36982</v>
          </cell>
          <cell r="I191">
            <v>37165</v>
          </cell>
          <cell r="J191">
            <v>37072</v>
          </cell>
        </row>
        <row r="192">
          <cell r="A192">
            <v>190</v>
          </cell>
          <cell r="C192" t="str">
            <v>Славянский</v>
          </cell>
          <cell r="D192" t="str">
            <v>Славянск-на-Кубани - Петровская - Целинный - Ачуево ;  км: 0+000-2+000</v>
          </cell>
          <cell r="F192" t="str">
            <v>Устройство автопавильонов</v>
          </cell>
          <cell r="G192" t="str">
            <v>Район: Славянский \ Славянск-на-Кубани - Петровская - Целинный - Ачуево ;  км: 0+000-2+000 \ Устройство автопавильонов</v>
          </cell>
          <cell r="H192">
            <v>36982</v>
          </cell>
          <cell r="I192">
            <v>37165</v>
          </cell>
          <cell r="J192">
            <v>37072</v>
          </cell>
        </row>
        <row r="193">
          <cell r="A193">
            <v>191</v>
          </cell>
          <cell r="C193" t="str">
            <v>Староминский</v>
          </cell>
          <cell r="D193" t="str">
            <v>Староминская - Ленинградская - Павловская ;  км: 0+000-21+ 540</v>
          </cell>
          <cell r="F193" t="str">
            <v>Поверхностная обработка (II вариант)</v>
          </cell>
          <cell r="G193" t="str">
            <v>Район: Староминский \ Староминская - Ленинградская - Павловская ;  км: 0+000-21+ 540 \ Поверхностная обработка (II вариант)</v>
          </cell>
          <cell r="H193">
            <v>36982</v>
          </cell>
          <cell r="I193">
            <v>37165</v>
          </cell>
          <cell r="J193">
            <v>37072</v>
          </cell>
        </row>
        <row r="194">
          <cell r="A194">
            <v>192</v>
          </cell>
          <cell r="C194" t="str">
            <v>Староминский</v>
          </cell>
          <cell r="D194" t="str">
            <v>Подъезд к а/д Азов-Александровская-Староминская км 0+000-2+900</v>
          </cell>
          <cell r="F194" t="str">
            <v>Устройство тротуаров и пешеходных дорожек</v>
          </cell>
          <cell r="G194" t="str">
            <v>Район: Староминский \ Подъезд к а/д Азов-Александровская-Староминская км 0+000-2+900 \ Устройство тротуаров и пешеходных дорожек</v>
          </cell>
          <cell r="H194">
            <v>36982</v>
          </cell>
          <cell r="I194">
            <v>37165</v>
          </cell>
          <cell r="J194">
            <v>37072</v>
          </cell>
        </row>
        <row r="195">
          <cell r="A195">
            <v>193</v>
          </cell>
          <cell r="C195" t="str">
            <v>Тбилисский</v>
          </cell>
          <cell r="D195" t="str">
            <v>Северин - Песчаный - Веревкин ;  км: 5+700-24+900</v>
          </cell>
          <cell r="F195" t="str">
            <v>Поверхностная обработка (II вариант)</v>
          </cell>
          <cell r="G195" t="str">
            <v>Район: Тбилисский \ Северин - Песчаный - Веревкин ;  км: 5+700-24+900 \ Поверхностная обработка (II вариант)</v>
          </cell>
          <cell r="H195">
            <v>36982</v>
          </cell>
          <cell r="I195">
            <v>37165</v>
          </cell>
          <cell r="J195">
            <v>37072</v>
          </cell>
        </row>
        <row r="196">
          <cell r="A196">
            <v>194</v>
          </cell>
          <cell r="C196" t="str">
            <v>Тбилисский</v>
          </cell>
          <cell r="D196" t="str">
            <v>Тбилисская - Воздвиженская ;  км: 13+000-20+000</v>
          </cell>
          <cell r="F196" t="str">
            <v>Поверхностная обработка (II вариант)</v>
          </cell>
          <cell r="G196" t="str">
            <v>Район: Тбилисский \ Тбилисская - Воздвиженская ;  км: 13+000-20+000 \ Поверхностная обработка (II вариант)</v>
          </cell>
          <cell r="H196">
            <v>36982</v>
          </cell>
          <cell r="I196">
            <v>37165</v>
          </cell>
          <cell r="J196">
            <v>37072</v>
          </cell>
        </row>
        <row r="197">
          <cell r="A197">
            <v>195</v>
          </cell>
          <cell r="C197" t="str">
            <v>Тбилисский</v>
          </cell>
          <cell r="D197" t="str">
            <v>Северокубанский - граница Гулькевичского р-на ;  км: 0+000-5+200</v>
          </cell>
          <cell r="F197" t="str">
            <v>Поверхностная обработка (II вариант)</v>
          </cell>
          <cell r="G197" t="str">
            <v>Район: Тбилисский \ Северокубанский - граница Гулькевичского р-на ;  км: 0+000-5+200 \ Поверхностная обработка (II вариант)</v>
          </cell>
          <cell r="H197">
            <v>36982</v>
          </cell>
          <cell r="I197">
            <v>37165</v>
          </cell>
          <cell r="J197">
            <v>37072</v>
          </cell>
        </row>
        <row r="198">
          <cell r="A198">
            <v>196</v>
          </cell>
          <cell r="C198" t="str">
            <v>Темрюкский</v>
          </cell>
          <cell r="D198" t="str">
            <v>Запорожская - Гаркуша ;  км: 0+000-4+000</v>
          </cell>
          <cell r="F198" t="str">
            <v>Поверхностная обработка (II вариант)</v>
          </cell>
          <cell r="G198" t="str">
            <v>Район: Темрюкский \ Запорожская - Гаркуша ;  км: 0+000-4+000 \ Поверхностная обработка (II вариант)</v>
          </cell>
          <cell r="H198">
            <v>36982</v>
          </cell>
          <cell r="I198">
            <v>37165</v>
          </cell>
          <cell r="J198">
            <v>37072</v>
          </cell>
        </row>
        <row r="199">
          <cell r="A199">
            <v>197</v>
          </cell>
          <cell r="C199" t="str">
            <v>Темрюкский</v>
          </cell>
          <cell r="D199" t="str">
            <v>Тамань - Веселовка ;  км: 0+000-6+000</v>
          </cell>
          <cell r="F199" t="str">
            <v>Поверхностная обработка (II вариант)</v>
          </cell>
          <cell r="G199" t="str">
            <v>Район: Темрюкский \ Тамань - Веселовка ;  км: 0+000-6+000 \ Поверхностная обработка (II вариант)</v>
          </cell>
          <cell r="H199">
            <v>36982</v>
          </cell>
          <cell r="I199">
            <v>37165</v>
          </cell>
          <cell r="J199">
            <v>37072</v>
          </cell>
        </row>
        <row r="200">
          <cell r="A200">
            <v>198</v>
          </cell>
          <cell r="C200" t="str">
            <v>Темрюкский</v>
          </cell>
          <cell r="D200" t="str">
            <v>Тамань - Веселовка ;  км: 10+000-19+100</v>
          </cell>
          <cell r="F200" t="str">
            <v>Поверхностная обработка (II вариант)</v>
          </cell>
          <cell r="G200" t="str">
            <v>Район: Темрюкский \ Тамань - Веселовка ;  км: 10+000-19+100 \ Поверхностная обработка (II вариант)</v>
          </cell>
          <cell r="H200">
            <v>36982</v>
          </cell>
          <cell r="I200">
            <v>37165</v>
          </cell>
          <cell r="J200">
            <v>37072</v>
          </cell>
        </row>
        <row r="201">
          <cell r="A201">
            <v>199</v>
          </cell>
          <cell r="C201" t="str">
            <v>Темрюкский</v>
          </cell>
          <cell r="D201" t="str">
            <v>Темрюк - Краснодар - Кропоткин ;  км: 10+000-11+300</v>
          </cell>
          <cell r="F201" t="str">
            <v>Облегченный ремонт - III вариант</v>
          </cell>
          <cell r="G201" t="str">
            <v>Район: Темрюкский \ Темрюк - Краснодар - Кропоткин ;  км: 10+000-11+300 \ Облегченный ремонт - III вариант</v>
          </cell>
          <cell r="H201">
            <v>36982</v>
          </cell>
          <cell r="I201">
            <v>37165</v>
          </cell>
          <cell r="J201">
            <v>37072</v>
          </cell>
        </row>
        <row r="202">
          <cell r="A202">
            <v>200</v>
          </cell>
          <cell r="C202" t="str">
            <v>Темрюкский</v>
          </cell>
          <cell r="D202" t="str">
            <v>Термюк-Краснодар-Кропоткин  1+350л 1+500л 1+500пр 0+800пр 0+950л 0+800л</v>
          </cell>
          <cell r="F202" t="str">
            <v>Ремонт покрытия на съездах</v>
          </cell>
          <cell r="G202" t="str">
            <v>Район: Темрюкский \ Термюк-Краснодар-Кропоткин  1+350л 1+500л 1+500пр 0+800пр 0+950л 0+800л \ Ремонт покрытия на съездах</v>
          </cell>
          <cell r="H202">
            <v>36982</v>
          </cell>
          <cell r="I202">
            <v>37165</v>
          </cell>
          <cell r="J202">
            <v>37072</v>
          </cell>
        </row>
        <row r="203">
          <cell r="A203">
            <v>201</v>
          </cell>
          <cell r="C203" t="str">
            <v>Темрюкский</v>
          </cell>
          <cell r="D203" t="str">
            <v>Темрюк-Краснодар-Кропоткин5+100пр 10+700пр 12+300л 12+300 пр  19+800пр 24+800пр 26+680пр</v>
          </cell>
          <cell r="F203" t="str">
            <v>Ремонт остановочных площадок</v>
          </cell>
          <cell r="G203" t="str">
            <v>Район: Темрюкский \ Темрюк-Краснодар-Кропоткин5+100пр 10+700пр 12+300л 12+300 пр  19+800пр 24+800пр 26+680пр \ Ремонт остановочных площадок</v>
          </cell>
          <cell r="H203">
            <v>36982</v>
          </cell>
          <cell r="I203">
            <v>37165</v>
          </cell>
          <cell r="J203">
            <v>37072</v>
          </cell>
        </row>
        <row r="204">
          <cell r="A204">
            <v>202</v>
          </cell>
          <cell r="C204" t="str">
            <v>Темрюкский</v>
          </cell>
          <cell r="D204" t="str">
            <v>Темрюк-Южный  склон  0+400 - 0+900</v>
          </cell>
          <cell r="F204" t="str">
            <v>Ремонт тротуаров и пешеходных дорожек</v>
          </cell>
          <cell r="G204" t="str">
            <v>Район: Темрюкский \ Темрюк-Южный  склон  0+400 - 0+900 \ Ремонт тротуаров и пешеходных дорожек</v>
          </cell>
          <cell r="H204">
            <v>36982</v>
          </cell>
          <cell r="I204">
            <v>37165</v>
          </cell>
          <cell r="J204">
            <v>37072</v>
          </cell>
        </row>
        <row r="205">
          <cell r="A205">
            <v>203</v>
          </cell>
          <cell r="C205" t="str">
            <v>Темрюкский</v>
          </cell>
          <cell r="D205" t="str">
            <v>Темрюк - Краснодар - Кропоткин ;  км: 1+270-1+800 ; 15+650-16+050</v>
          </cell>
          <cell r="F205" t="str">
            <v>Ремонт тротуаров и пешеходных дорожек</v>
          </cell>
          <cell r="G205" t="str">
            <v>Район: Темрюкский \ Темрюк - Краснодар - Кропоткин ;  км: 1+270-1+800 ; 15+650-16+050 \ Ремонт тротуаров и пешеходных дорожек</v>
          </cell>
          <cell r="H205">
            <v>36982</v>
          </cell>
          <cell r="I205">
            <v>37165</v>
          </cell>
          <cell r="J205">
            <v>37072</v>
          </cell>
        </row>
        <row r="206">
          <cell r="A206">
            <v>204</v>
          </cell>
          <cell r="C206" t="str">
            <v>Тимашевский</v>
          </cell>
          <cell r="D206" t="str">
            <v>Тимашевск - Славянск-на-Кубани - Крымск ;  км: 0+000-5+000</v>
          </cell>
          <cell r="F206" t="str">
            <v>Поверхностная обработка (II вариант)</v>
          </cell>
          <cell r="G206" t="str">
            <v>Район: Тимашевский \ Тимашевск - Славянск-на-Кубани - Крымск ;  км: 0+000-5+000 \ Поверхностная обработка (II вариант)</v>
          </cell>
          <cell r="H206">
            <v>36982</v>
          </cell>
          <cell r="I206">
            <v>37165</v>
          </cell>
          <cell r="J206">
            <v>37072</v>
          </cell>
        </row>
        <row r="207">
          <cell r="A207">
            <v>205</v>
          </cell>
          <cell r="C207" t="str">
            <v>Тимашевский</v>
          </cell>
          <cell r="D207" t="str">
            <v>Краснодар - Ейск ;  км: 67+800-73+400</v>
          </cell>
          <cell r="F207" t="str">
            <v>Поверхностная обработка (II вариант)</v>
          </cell>
          <cell r="G207" t="str">
            <v>Район: Тимашевский \ Краснодар - Ейск ;  км: 67+800-73+400 \ Поверхностная обработка (II вариант)</v>
          </cell>
          <cell r="H207">
            <v>36982</v>
          </cell>
          <cell r="I207">
            <v>37165</v>
          </cell>
          <cell r="J207">
            <v>37072</v>
          </cell>
        </row>
        <row r="208">
          <cell r="A208">
            <v>206</v>
          </cell>
          <cell r="C208" t="str">
            <v>Тимашевский</v>
          </cell>
          <cell r="D208" t="str">
            <v>Тимашевск - Приморско-Ахтарск ;  км: 3+600-5+500</v>
          </cell>
          <cell r="F208" t="str">
            <v>Поверхностная обработка (II вариант)</v>
          </cell>
          <cell r="G208" t="str">
            <v>Район: Тимашевский \ Тимашевск - Приморско-Ахтарск ;  км: 3+600-5+500 \ Поверхностная обработка (II вариант)</v>
          </cell>
          <cell r="H208">
            <v>36982</v>
          </cell>
          <cell r="I208">
            <v>37165</v>
          </cell>
          <cell r="J208">
            <v>37072</v>
          </cell>
        </row>
        <row r="209">
          <cell r="A209">
            <v>207</v>
          </cell>
          <cell r="C209" t="str">
            <v>Тимашевский</v>
          </cell>
          <cell r="D209" t="str">
            <v>Новокорсунская - Незаймановский ;  км: 12+000-17+980</v>
          </cell>
          <cell r="F209" t="str">
            <v>Облегченный ремонт - III вариант</v>
          </cell>
          <cell r="G209" t="str">
            <v>Район: Тимашевский \ Новокорсунская - Незаймановский ;  км: 12+000-17+980 \ Облегченный ремонт - III вариант</v>
          </cell>
          <cell r="H209">
            <v>36982</v>
          </cell>
          <cell r="I209">
            <v>37165</v>
          </cell>
          <cell r="J209">
            <v>37072</v>
          </cell>
        </row>
        <row r="210">
          <cell r="A210">
            <v>208</v>
          </cell>
          <cell r="C210" t="str">
            <v>Тихорецкий</v>
          </cell>
          <cell r="D210" t="str">
            <v>Сальск - Тихорецк ;  км: 82+771-85+611</v>
          </cell>
          <cell r="F210" t="str">
            <v>Поверхностная обработка (II вариант)</v>
          </cell>
          <cell r="G210" t="str">
            <v>Район: Тихорецкий \ Сальск - Тихорецк ;  км: 82+771-85+611 \ Поверхностная обработка (II вариант)</v>
          </cell>
          <cell r="H210">
            <v>36982</v>
          </cell>
          <cell r="I210">
            <v>37165</v>
          </cell>
          <cell r="J210">
            <v>37072</v>
          </cell>
        </row>
        <row r="211">
          <cell r="A211">
            <v>209</v>
          </cell>
          <cell r="C211" t="str">
            <v>Тихорецкий</v>
          </cell>
          <cell r="D211" t="str">
            <v>Журавская - Тихорецк ;  км: 49+232-53+783</v>
          </cell>
          <cell r="F211" t="str">
            <v>Поверхностная обработка (II вариант)</v>
          </cell>
          <cell r="G211" t="str">
            <v>Район: Тихорецкий \ Журавская - Тихорецк ;  км: 49+232-53+783 \ Поверхностная обработка (II вариант)</v>
          </cell>
          <cell r="H211">
            <v>36982</v>
          </cell>
          <cell r="I211">
            <v>37165</v>
          </cell>
          <cell r="J211">
            <v>37072</v>
          </cell>
        </row>
        <row r="212">
          <cell r="A212">
            <v>210</v>
          </cell>
          <cell r="C212" t="str">
            <v>Тихорецкий</v>
          </cell>
          <cell r="D212" t="str">
            <v>Подъезд к п.Северный ;  км: 13+200-17+000</v>
          </cell>
          <cell r="F212" t="str">
            <v>Поверхностная обработка (II вариант)</v>
          </cell>
          <cell r="G212" t="str">
            <v>Район: Тихорецкий \ Подъезд к п.Северный ;  км: 13+200-17+000 \ Поверхностная обработка (II вариант)</v>
          </cell>
          <cell r="H212">
            <v>36982</v>
          </cell>
          <cell r="I212">
            <v>37165</v>
          </cell>
          <cell r="J212">
            <v>37072</v>
          </cell>
        </row>
        <row r="213">
          <cell r="A213">
            <v>211</v>
          </cell>
          <cell r="C213" t="str">
            <v>Тихорецкий</v>
          </cell>
          <cell r="D213" t="str">
            <v>Подъезд к ст.Еримизино-Борисовская ;  км: 0+000-7+400</v>
          </cell>
          <cell r="F213" t="str">
            <v>Поверхностная обработка (II вариант)</v>
          </cell>
          <cell r="G213" t="str">
            <v>Район: Тихорецкий \ Подъезд к ст.Еримизино-Борисовская ;  км: 0+000-7+400 \ Поверхностная обработка (II вариант)</v>
          </cell>
          <cell r="H213">
            <v>36982</v>
          </cell>
          <cell r="I213">
            <v>37165</v>
          </cell>
          <cell r="J213">
            <v>37072</v>
          </cell>
        </row>
        <row r="214">
          <cell r="A214">
            <v>212</v>
          </cell>
          <cell r="C214" t="str">
            <v>Тихорецкий</v>
          </cell>
          <cell r="D214" t="str">
            <v>Тихорецк - Алексеевская - Новоархангельская ;  км: 0+000-2+000</v>
          </cell>
          <cell r="F214" t="str">
            <v>Облегченный ремонт - III вариант</v>
          </cell>
          <cell r="G214" t="str">
            <v>Район: Тихорецкий \ Тихорецк - Алексеевская - Новоархангельская ;  км: 0+000-2+000 \ Облегченный ремонт - III вариант</v>
          </cell>
          <cell r="H214">
            <v>36982</v>
          </cell>
          <cell r="I214">
            <v>37165</v>
          </cell>
          <cell r="J214">
            <v>37072</v>
          </cell>
        </row>
        <row r="215">
          <cell r="A215">
            <v>213</v>
          </cell>
          <cell r="C215" t="str">
            <v>Тихорецкий</v>
          </cell>
          <cell r="D215" t="str">
            <v>Тихорецк - Алексеевская - Новоархангельская ;  км: 7+000-13+800</v>
          </cell>
          <cell r="F215" t="str">
            <v>Облегченный ремонт - III вариант</v>
          </cell>
          <cell r="G215" t="str">
            <v>Район: Тихорецкий \ Тихорецк - Алексеевская - Новоархангельская ;  км: 7+000-13+800 \ Облегченный ремонт - III вариант</v>
          </cell>
          <cell r="H215">
            <v>36982</v>
          </cell>
          <cell r="I215">
            <v>37165</v>
          </cell>
          <cell r="J215">
            <v>37072</v>
          </cell>
        </row>
        <row r="216">
          <cell r="A216">
            <v>214</v>
          </cell>
          <cell r="C216" t="str">
            <v>Тихорецкий</v>
          </cell>
          <cell r="D216" t="str">
            <v>Тихорецк - Алексеевская - Новоархангельская ;  км: 3+516</v>
          </cell>
          <cell r="F216" t="str">
            <v>Замена водопропускных труб</v>
          </cell>
          <cell r="G216" t="str">
            <v>Район: Тихорецкий \ Тихорецк - Алексеевская - Новоархангельская ;  км: 3+516 \ Замена водопропускных труб</v>
          </cell>
          <cell r="H216">
            <v>36982</v>
          </cell>
          <cell r="I216">
            <v>37165</v>
          </cell>
          <cell r="J216">
            <v>37072</v>
          </cell>
        </row>
        <row r="217">
          <cell r="A217">
            <v>215</v>
          </cell>
          <cell r="C217" t="str">
            <v>Тихорецкий</v>
          </cell>
          <cell r="D217" t="str">
            <v>Журавская - Тихорецк ;  км: 67+500-70+300</v>
          </cell>
          <cell r="F217" t="str">
            <v>Устройство тротуаров и пешеходных дорожек</v>
          </cell>
          <cell r="G217" t="str">
            <v>Район: Тихорецкий \ Журавская - Тихорецк ;  км: 67+500-70+300 \ Устройство тротуаров и пешеходных дорожек</v>
          </cell>
          <cell r="H217">
            <v>36982</v>
          </cell>
          <cell r="I217">
            <v>37165</v>
          </cell>
          <cell r="J217">
            <v>37072</v>
          </cell>
        </row>
        <row r="218">
          <cell r="A218">
            <v>216</v>
          </cell>
          <cell r="C218" t="str">
            <v>Тихорецкий</v>
          </cell>
          <cell r="D218" t="str">
            <v>Архангельская - Отрадная ;  км: 1+400-2+100</v>
          </cell>
          <cell r="F218" t="str">
            <v>Устройство тротуаров и пешеходных дорожек</v>
          </cell>
          <cell r="G218" t="str">
            <v>Район: Тихорецкий \ Архангельская - Отрадная ;  км: 1+400-2+100 \ Устройство тротуаров и пешеходных дорожек</v>
          </cell>
          <cell r="H218">
            <v>36982</v>
          </cell>
          <cell r="I218">
            <v>37165</v>
          </cell>
          <cell r="J218">
            <v>37072</v>
          </cell>
        </row>
        <row r="219">
          <cell r="A219">
            <v>217</v>
          </cell>
          <cell r="C219" t="str">
            <v>Тихорецкий</v>
          </cell>
          <cell r="D219" t="str">
            <v>Подъезд к п.Северный ;  км: 11+200-11+700</v>
          </cell>
          <cell r="F219" t="str">
            <v>Устройство тротуаров и пешеходных дорожек</v>
          </cell>
          <cell r="G219" t="str">
            <v>Район: Тихорецкий \ Подъезд к п.Северный ;  км: 11+200-11+700 \ Устройство тротуаров и пешеходных дорожек</v>
          </cell>
          <cell r="H219">
            <v>36982</v>
          </cell>
          <cell r="I219">
            <v>37165</v>
          </cell>
          <cell r="J219">
            <v>37072</v>
          </cell>
        </row>
        <row r="220">
          <cell r="A220">
            <v>218</v>
          </cell>
          <cell r="C220" t="str">
            <v>Туапсинский</v>
          </cell>
          <cell r="D220" t="str">
            <v>Майкоп - Туапсе ;  км: 194+300-196+300</v>
          </cell>
          <cell r="F220" t="str">
            <v>Поверхностная обработка (II вариант)</v>
          </cell>
          <cell r="G220" t="str">
            <v>Район: Туапсинский \ Майкоп - Туапсе ;  км: 194+300-196+300 \ Поверхностная обработка (II вариант)</v>
          </cell>
          <cell r="H220">
            <v>36982</v>
          </cell>
          <cell r="I220">
            <v>37165</v>
          </cell>
          <cell r="J220">
            <v>37072</v>
          </cell>
        </row>
        <row r="221">
          <cell r="A221">
            <v>219</v>
          </cell>
          <cell r="C221" t="str">
            <v>Туапсинский</v>
          </cell>
          <cell r="D221" t="str">
            <v>Майкоп - Туапсе ;  км: 217+000-220+900</v>
          </cell>
          <cell r="F221" t="str">
            <v>Поверхностная обработка (II вариант)</v>
          </cell>
          <cell r="G221" t="str">
            <v>Район: Туапсинский \ Майкоп - Туапсе ;  км: 217+000-220+900 \ Поверхностная обработка (II вариант)</v>
          </cell>
          <cell r="H221">
            <v>36982</v>
          </cell>
          <cell r="I221">
            <v>37165</v>
          </cell>
          <cell r="J221">
            <v>37072</v>
          </cell>
        </row>
        <row r="222">
          <cell r="A222">
            <v>220</v>
          </cell>
          <cell r="C222" t="str">
            <v>Туапсинский</v>
          </cell>
          <cell r="D222" t="str">
            <v>Майкоп - Туапсе ;  км: 223+500-228+213</v>
          </cell>
          <cell r="F222" t="str">
            <v>Поверхностная обработка (II вариант)</v>
          </cell>
          <cell r="G222" t="str">
            <v>Район: Туапсинский \ Майкоп - Туапсе ;  км: 223+500-228+213 \ Поверхностная обработка (II вариант)</v>
          </cell>
          <cell r="H222">
            <v>36982</v>
          </cell>
          <cell r="I222">
            <v>37165</v>
          </cell>
          <cell r="J222">
            <v>37072</v>
          </cell>
        </row>
        <row r="223">
          <cell r="A223">
            <v>221</v>
          </cell>
          <cell r="C223" t="str">
            <v>Туапсинский</v>
          </cell>
          <cell r="D223" t="str">
            <v>Майкоп - Туапсе ;  км: 234+000-234+900</v>
          </cell>
          <cell r="F223" t="str">
            <v>Поверхностная обработка (II вариант)</v>
          </cell>
          <cell r="G223" t="str">
            <v>Район: Туапсинский \ Майкоп - Туапсе ;  км: 234+000-234+900 \ Поверхностная обработка (II вариант)</v>
          </cell>
          <cell r="H223">
            <v>36982</v>
          </cell>
          <cell r="I223">
            <v>37165</v>
          </cell>
          <cell r="J223">
            <v>37072</v>
          </cell>
        </row>
        <row r="224">
          <cell r="A224">
            <v>222</v>
          </cell>
          <cell r="C224" t="str">
            <v>Туапсинский</v>
          </cell>
          <cell r="D224" t="str">
            <v>Подъезд к б/о "Инал" ;  км: 0+000-5+700</v>
          </cell>
          <cell r="F224" t="str">
            <v>Поверхностная обработка (II вариант)</v>
          </cell>
          <cell r="G224" t="str">
            <v>Район: Туапсинский \ Подъезд к б/о "Инал" ;  км: 0+000-5+700 \ Поверхностная обработка (II вариант)</v>
          </cell>
          <cell r="H224">
            <v>36982</v>
          </cell>
          <cell r="I224">
            <v>37165</v>
          </cell>
          <cell r="J224">
            <v>37072</v>
          </cell>
        </row>
        <row r="225">
          <cell r="A225">
            <v>223</v>
          </cell>
          <cell r="C225" t="str">
            <v>Туапсинский</v>
          </cell>
          <cell r="D225" t="str">
            <v>Майкоп - Туапсе ;  км: 191+500-193+500</v>
          </cell>
          <cell r="F225" t="str">
            <v>Капитальный ремонт с усилением дорожной одежды</v>
          </cell>
          <cell r="G225" t="str">
            <v>Район: Туапсинский \ Майкоп - Туапсе ;  км: 191+500-193+500 \ Капитальный ремонт с усилением дорожной одежды</v>
          </cell>
          <cell r="H225">
            <v>36982</v>
          </cell>
          <cell r="I225">
            <v>37165</v>
          </cell>
          <cell r="J225">
            <v>37072</v>
          </cell>
        </row>
        <row r="226">
          <cell r="A226">
            <v>224</v>
          </cell>
          <cell r="C226" t="str">
            <v>Успенский</v>
          </cell>
          <cell r="D226" t="str">
            <v>Подъезд к а.Урупский ;  км: 0+000-2+100</v>
          </cell>
          <cell r="F226" t="str">
            <v>Облегченный ремонт - III вариант</v>
          </cell>
          <cell r="G226" t="str">
            <v>Район: Успенский \ Подъезд к а.Урупский ;  км: 0+000-2+100 \ Облегченный ремонт - III вариант</v>
          </cell>
          <cell r="H226">
            <v>36982</v>
          </cell>
          <cell r="I226">
            <v>37165</v>
          </cell>
          <cell r="J226">
            <v>37072</v>
          </cell>
        </row>
        <row r="227">
          <cell r="A227">
            <v>225</v>
          </cell>
          <cell r="C227" t="str">
            <v>Успенский</v>
          </cell>
          <cell r="D227" t="str">
            <v>Подъезд к с.Маламино ;  км: 0+000-5+500</v>
          </cell>
          <cell r="F227" t="str">
            <v>Облегченный ремонт - III вариант</v>
          </cell>
          <cell r="G227" t="str">
            <v>Район: Успенский \ Подъезд к с.Маламино ;  км: 0+000-5+500 \ Облегченный ремонт - III вариант</v>
          </cell>
          <cell r="H227">
            <v>36982</v>
          </cell>
          <cell r="I227">
            <v>37165</v>
          </cell>
          <cell r="J227">
            <v>37072</v>
          </cell>
        </row>
        <row r="228">
          <cell r="A228">
            <v>226</v>
          </cell>
          <cell r="C228" t="str">
            <v>Успенский</v>
          </cell>
          <cell r="D228" t="str">
            <v>Подъезд к а/д "Армавир - Успенское - Невинномысск" ;  км: 0+000-4+540</v>
          </cell>
          <cell r="F228" t="str">
            <v>Облегченный ремонт - III вариант</v>
          </cell>
          <cell r="G228" t="str">
            <v>Район: Успенский \ Подъезд к а/д "Армавир - Успенское - Невинномысск" ;  км: 0+000-4+540 \ Облегченный ремонт - III вариант</v>
          </cell>
          <cell r="H228">
            <v>36982</v>
          </cell>
          <cell r="I228">
            <v>37165</v>
          </cell>
          <cell r="J228">
            <v>37072</v>
          </cell>
        </row>
        <row r="229">
          <cell r="A229">
            <v>227</v>
          </cell>
          <cell r="C229" t="str">
            <v>Успенский</v>
          </cell>
          <cell r="D229" t="str">
            <v>Армавир - Успенское - Невинномысск ;  км: 5+650-17+650</v>
          </cell>
          <cell r="F229" t="str">
            <v>Уширение земполотна и проезжей части (комплекс)</v>
          </cell>
          <cell r="G229" t="str">
            <v>Район: Успенский \ Армавир - Успенское - Невинномысск ;  км: 5+650-17+650 \ Уширение земполотна и проезжей части (комплекс)</v>
          </cell>
          <cell r="H229">
            <v>36982</v>
          </cell>
          <cell r="I229">
            <v>37165</v>
          </cell>
          <cell r="J229">
            <v>37072</v>
          </cell>
        </row>
        <row r="230">
          <cell r="A230">
            <v>228</v>
          </cell>
          <cell r="C230" t="str">
            <v>Успенский</v>
          </cell>
          <cell r="D230" t="str">
            <v>Подъезд к х.Зуево км 0+000-5+000</v>
          </cell>
          <cell r="F230" t="str">
            <v>Комплексный ремонт</v>
          </cell>
          <cell r="G230" t="str">
            <v>Район: Успенский \ Подъезд к х.Зуево км 0+000-5+000 \ Комплексный ремонт</v>
          </cell>
          <cell r="H230">
            <v>36982</v>
          </cell>
          <cell r="I230">
            <v>37165</v>
          </cell>
          <cell r="J230">
            <v>37072</v>
          </cell>
        </row>
        <row r="231">
          <cell r="A231">
            <v>229</v>
          </cell>
          <cell r="C231" t="str">
            <v>Успенский</v>
          </cell>
          <cell r="D231" t="str">
            <v>Коноково-Урупский-Трехсельский-Пантелеймоновское;км:28+600-33+000</v>
          </cell>
          <cell r="F231" t="str">
            <v>Уширение земполотна и проезжей части (комплекс)</v>
          </cell>
          <cell r="G231" t="str">
            <v>Район: Успенский \ Коноково-Урупский-Трехсельский-Пантелеймоновское;км:28+600-33+000 \ Уширение земполотна и проезжей части (комплекс)</v>
          </cell>
          <cell r="H231">
            <v>36982</v>
          </cell>
          <cell r="I231">
            <v>37165</v>
          </cell>
          <cell r="J231">
            <v>37072</v>
          </cell>
        </row>
        <row r="232">
          <cell r="A232">
            <v>230</v>
          </cell>
          <cell r="C232" t="str">
            <v>Усть-Лабинский</v>
          </cell>
          <cell r="D232" t="str">
            <v>Усть-Лабинск - Лабинск - Упорная ;  км: 12+400-20+600</v>
          </cell>
          <cell r="F232" t="str">
            <v>Поверхностная обработка (II вариант)</v>
          </cell>
          <cell r="G232" t="str">
            <v>Район: Усть-Лабинский \ Усть-Лабинск - Лабинск - Упорная ;  км: 12+400-20+600 \ Поверхностная обработка (II вариант)</v>
          </cell>
          <cell r="H232">
            <v>36982</v>
          </cell>
          <cell r="I232">
            <v>37165</v>
          </cell>
          <cell r="J232">
            <v>37072</v>
          </cell>
        </row>
        <row r="233">
          <cell r="A233">
            <v>231</v>
          </cell>
          <cell r="C233" t="str">
            <v>Щербиновский</v>
          </cell>
          <cell r="D233" t="str">
            <v>Подъезд к битумной базе ;  км: 0+000-0+900</v>
          </cell>
          <cell r="F233" t="str">
            <v>Поверхностная обработка (II вариант)</v>
          </cell>
          <cell r="G233" t="str">
            <v>Район: Щербиновский \ Подъезд к битумной базе ;  км: 0+000-0+900 \ Поверхностная обработка (II вариант)</v>
          </cell>
          <cell r="H233">
            <v>36982</v>
          </cell>
          <cell r="I233">
            <v>37165</v>
          </cell>
          <cell r="J233">
            <v>37072</v>
          </cell>
        </row>
        <row r="234">
          <cell r="A234">
            <v>232</v>
          </cell>
          <cell r="C234" t="str">
            <v>Щербиновский</v>
          </cell>
          <cell r="D234" t="str">
            <v>Подъезд к с.Глафировка ;  км: 0+000-1+500</v>
          </cell>
          <cell r="F234" t="str">
            <v>Поверхностная обработка (II вариант)</v>
          </cell>
          <cell r="G234" t="str">
            <v>Район: Щербиновский \ Подъезд к с.Глафировка ;  км: 0+000-1+500 \ Поверхностная обработка (II вариант)</v>
          </cell>
          <cell r="H234">
            <v>36982</v>
          </cell>
          <cell r="I234">
            <v>37165</v>
          </cell>
          <cell r="J234">
            <v>37072</v>
          </cell>
        </row>
        <row r="235">
          <cell r="A235">
            <v>233</v>
          </cell>
          <cell r="C235" t="str">
            <v> Усть-Лабинский  р-н</v>
          </cell>
          <cell r="D235" t="str">
            <v>А/д Усть-Лабинск-Лабинск-Упорная на участке Усть-Лабинск-Некрасовская</v>
          </cell>
          <cell r="F235" t="str">
            <v>Реконструкция  автодороги</v>
          </cell>
          <cell r="G235" t="str">
            <v>Район:  Усть-Лабинский  р-н \ А/д Усть-Лабинск-Лабинск-Упорная на участке Усть-Лабинск-Некрасовская \ Реконструкция  автодороги</v>
          </cell>
          <cell r="H235">
            <v>36982</v>
          </cell>
          <cell r="I235">
            <v>37165</v>
          </cell>
          <cell r="J235">
            <v>37072</v>
          </cell>
        </row>
        <row r="236">
          <cell r="A236">
            <v>234</v>
          </cell>
          <cell r="C236" t="str">
            <v>Абинский</v>
          </cell>
          <cell r="D236" t="str">
            <v>Федоровская - Холмский - Новый ;  км: 5+302</v>
          </cell>
          <cell r="F236" t="str">
            <v>Восстановление, усиление, выправление, замена отдельных элементов пролетных строений</v>
          </cell>
          <cell r="G236" t="str">
            <v>Район: Абинский \ Федоровская - Холмский - Новый ;  км: 5+302 \ Восстановление, усиление, выправление, замена отдельных элементов пролетных строений</v>
          </cell>
          <cell r="H236">
            <v>36982</v>
          </cell>
          <cell r="I236">
            <v>37165</v>
          </cell>
          <cell r="J236">
            <v>37072</v>
          </cell>
        </row>
        <row r="237">
          <cell r="A237">
            <v>235</v>
          </cell>
          <cell r="C237" t="str">
            <v>Апшеронский</v>
          </cell>
          <cell r="D237" t="str">
            <v>Майкоп - Туапсе ;  км: 185+070</v>
          </cell>
          <cell r="F237" t="str">
            <v>Приведение габарита и грузоподъемности сооружений в соответствие с нормами для данной категории дороги</v>
          </cell>
          <cell r="G237" t="str">
            <v>Район: Апшеронский \ Майкоп - Туапсе ;  км: 185+070 \ Приведение габарита и грузоподъемности сооружений в соответствие с нормами для данной категории дороги</v>
          </cell>
          <cell r="H237">
            <v>36982</v>
          </cell>
          <cell r="I237">
            <v>37165</v>
          </cell>
          <cell r="J237">
            <v>37072</v>
          </cell>
        </row>
        <row r="238">
          <cell r="A238">
            <v>236</v>
          </cell>
          <cell r="C238" t="str">
            <v>Белореченский</v>
          </cell>
          <cell r="D238" t="str">
            <v>Мирный - Бжедуховская - Беляевский ;  км: 19+725</v>
          </cell>
          <cell r="F238" t="str">
            <v>Приведение габарита и грузоподъемности сооружений в соответствие с нормами для данной категории дороги</v>
          </cell>
          <cell r="G238" t="str">
            <v>Район: Белореченский \ Мирный - Бжедуховская - Беляевский ;  км: 19+725 \ Приведение габарита и грузоподъемности сооружений в соответствие с нормами для данной категории дороги</v>
          </cell>
          <cell r="H238">
            <v>36982</v>
          </cell>
          <cell r="I238">
            <v>37165</v>
          </cell>
          <cell r="J238">
            <v>37072</v>
          </cell>
        </row>
        <row r="239">
          <cell r="A239">
            <v>237</v>
          </cell>
          <cell r="C239" t="str">
            <v>Красноармейс.р-н </v>
          </cell>
          <cell r="D239" t="str">
            <v>Новомышастовская-Федоровский гидроузел км 0+000-11+200</v>
          </cell>
          <cell r="F239" t="str">
            <v>Приведение габарита и грузоподъемности сооружений в соответствие с нормами для данной категории дороги</v>
          </cell>
          <cell r="G239" t="str">
            <v>Район: Красноармейс.р-н  \ Новомышастовская-Федоровский гидроузел км 0+000-11+200 \ Приведение габарита и грузоподъемности сооружений в соответствие с нормами для данной категории дороги</v>
          </cell>
          <cell r="H239">
            <v>36982</v>
          </cell>
          <cell r="I239">
            <v>37165</v>
          </cell>
          <cell r="J239">
            <v>37072</v>
          </cell>
        </row>
        <row r="240">
          <cell r="A240">
            <v>238</v>
          </cell>
          <cell r="C240" t="str">
            <v>Курганинский</v>
          </cell>
          <cell r="D240" t="str">
            <v>Усть-Лабинск-Лабинск-Упорная км 74+270</v>
          </cell>
          <cell r="F240" t="str">
            <v>Приведение габарита и грузоподъемности сооружений в соответствие с нормами для данной категории дороги</v>
          </cell>
          <cell r="G240" t="str">
            <v>Район: Курганинский \ Усть-Лабинск-Лабинск-Упорная км 74+270 \ Приведение габарита и грузоподъемности сооружений в соответствие с нормами для данной категории дороги</v>
          </cell>
          <cell r="H240">
            <v>36982</v>
          </cell>
          <cell r="I240">
            <v>37165</v>
          </cell>
          <cell r="J240">
            <v>37072</v>
          </cell>
        </row>
        <row r="241">
          <cell r="A241">
            <v>239</v>
          </cell>
          <cell r="C241" t="str">
            <v>Курганинский</v>
          </cell>
          <cell r="D241" t="str">
            <v>Усть-Лабинск-Лабинск-Упорная км 70+000</v>
          </cell>
          <cell r="F241" t="str">
            <v>Приведение габарита и грузоподъемности сооружений в соответствие с нормами для данной категории дороги</v>
          </cell>
          <cell r="G241" t="str">
            <v>Район: Курганинский \ Усть-Лабинск-Лабинск-Упорная км 70+000 \ Приведение габарита и грузоподъемности сооружений в соответствие с нормами для данной категории дороги</v>
          </cell>
          <cell r="H241">
            <v>36982</v>
          </cell>
          <cell r="I241">
            <v>37165</v>
          </cell>
          <cell r="J241">
            <v>37072</v>
          </cell>
        </row>
        <row r="242">
          <cell r="A242">
            <v>240</v>
          </cell>
          <cell r="C242" t="str">
            <v>Курганинский</v>
          </cell>
          <cell r="D242" t="str">
            <v>Усть-Лабинск-Лабинск-Упорная км 59+350</v>
          </cell>
          <cell r="F242" t="str">
            <v>Приведение габарита и грузоподъемности сооружений в соответствие с нормами для данной категории дороги</v>
          </cell>
          <cell r="G242" t="str">
            <v>Район: Курганинский \ Усть-Лабинск-Лабинск-Упорная км 59+350 \ Приведение габарита и грузоподъемности сооружений в соответствие с нормами для данной категории дороги</v>
          </cell>
          <cell r="H242">
            <v>36982</v>
          </cell>
          <cell r="I242">
            <v>37165</v>
          </cell>
          <cell r="J242">
            <v>37072</v>
          </cell>
        </row>
        <row r="243">
          <cell r="A243">
            <v>241</v>
          </cell>
          <cell r="C243" t="str">
            <v>Кавказский</v>
          </cell>
          <cell r="D243" t="str">
            <v>Темрюк - Краснодар - Кропоткин ;  км: 288+680-288+753</v>
          </cell>
          <cell r="F243" t="str">
            <v>Восстановление, усиление, выправление, замена отдельных элементов пролетных строений</v>
          </cell>
          <cell r="G243" t="str">
            <v>Район: Кавказский \ Темрюк - Краснодар - Кропоткин ;  км: 288+680-288+753 \ Восстановление, усиление, выправление, замена отдельных элементов пролетных строений</v>
          </cell>
          <cell r="H243">
            <v>36982</v>
          </cell>
          <cell r="I243">
            <v>37165</v>
          </cell>
          <cell r="J243">
            <v>37072</v>
          </cell>
        </row>
        <row r="244">
          <cell r="A244">
            <v>242</v>
          </cell>
          <cell r="C244" t="str">
            <v>Новопокровский</v>
          </cell>
          <cell r="D244" t="str">
            <v> Новопокровский-Плоская  км 7+900</v>
          </cell>
          <cell r="F244" t="str">
            <v>Приведение габарита и грузоподъемности сооружений в соответствие с нормами для данной категории дороги</v>
          </cell>
          <cell r="G244" t="str">
            <v>Район: Новопокровский \  Новопокровский-Плоская  км 7+900 \ Приведение габарита и грузоподъемности сооружений в соответствие с нормами для данной категории дороги</v>
          </cell>
          <cell r="H244">
            <v>36982</v>
          </cell>
          <cell r="I244">
            <v>37165</v>
          </cell>
          <cell r="J244">
            <v>37072</v>
          </cell>
        </row>
        <row r="245">
          <cell r="A245">
            <v>243</v>
          </cell>
          <cell r="C245" t="str">
            <v>Новопокровский</v>
          </cell>
          <cell r="D245" t="str">
            <v>Сальск-Тихорецк км 37+315</v>
          </cell>
          <cell r="F245" t="str">
            <v>Приведение габарита и грузоподъемности сооружений в соответствие с нормами для данной категории дороги</v>
          </cell>
          <cell r="G245" t="str">
            <v>Район: Новопокровский \ Сальск-Тихорецк км 37+315 \ Приведение габарита и грузоподъемности сооружений в соответствие с нормами для данной категории дороги</v>
          </cell>
          <cell r="H245">
            <v>36982</v>
          </cell>
          <cell r="I245">
            <v>37165</v>
          </cell>
          <cell r="J245">
            <v>37072</v>
          </cell>
        </row>
        <row r="246">
          <cell r="A246">
            <v>244</v>
          </cell>
          <cell r="C246" t="str">
            <v>Ленинградский</v>
          </cell>
          <cell r="D246" t="str">
            <v>Стародеревянковская - Ленинградская - Кисляковская ;  км: 40+300-40+320</v>
          </cell>
          <cell r="F246" t="str">
            <v>Приведение габарита и грузоподъемности сооружений в соответствие с нормами для данной категории дороги</v>
          </cell>
          <cell r="G246" t="str">
            <v>Район: Ленинградский \ Стародеревянковская - Ленинградская - Кисляковская ;  км: 40+300-40+320 \ Приведение габарита и грузоподъемности сооружений в соответствие с нормами для данной категории дороги</v>
          </cell>
          <cell r="H246">
            <v>36982</v>
          </cell>
          <cell r="I246">
            <v>37165</v>
          </cell>
          <cell r="J246">
            <v>37072</v>
          </cell>
        </row>
        <row r="247">
          <cell r="A247">
            <v>245</v>
          </cell>
          <cell r="C247" t="str">
            <v>Мостовский</v>
          </cell>
          <cell r="D247" t="str">
            <v>Мост через р.Псефирь на а/д Подъезд к ст.Костромская ; км: 11+550</v>
          </cell>
          <cell r="F247" t="str">
            <v>Приведение габарита и грузоподъемности сооружений в соответствие с нормами для данной категории дороги</v>
          </cell>
          <cell r="G247" t="str">
            <v>Район: Мостовский \ Мост через р.Псефирь на а/д Подъезд к ст.Костромская ; км: 11+550 \ Приведение габарита и грузоподъемности сооружений в соответствие с нормами для данной категории дороги</v>
          </cell>
          <cell r="H247">
            <v>36982</v>
          </cell>
          <cell r="I247">
            <v>37165</v>
          </cell>
          <cell r="J247">
            <v>37072</v>
          </cell>
        </row>
        <row r="248">
          <cell r="A248">
            <v>246</v>
          </cell>
          <cell r="C248" t="str">
            <v>Отрадненский</v>
          </cell>
          <cell r="D248" t="str">
            <v>Отрадная-Трактовый км 2+946</v>
          </cell>
          <cell r="F248" t="str">
            <v>Приведение габарита и грузоподъемности сооружений в соответствие с нормами для данной категории дороги</v>
          </cell>
          <cell r="G248" t="str">
            <v>Район: Отрадненский \ Отрадная-Трактовый км 2+946 \ Приведение габарита и грузоподъемности сооружений в соответствие с нормами для данной категории дороги</v>
          </cell>
          <cell r="H248">
            <v>36982</v>
          </cell>
          <cell r="I248">
            <v>37165</v>
          </cell>
          <cell r="J248">
            <v>37072</v>
          </cell>
        </row>
        <row r="249">
          <cell r="A249">
            <v>247</v>
          </cell>
          <cell r="C249" t="str">
            <v>Павловский</v>
          </cell>
          <cell r="D249" t="str">
            <v>Старолеушковская - Средний Челбас ;  км: 2+500</v>
          </cell>
          <cell r="F249" t="str">
            <v>Приведение габарита и грузоподъемности сооружений в соответствие с нормами для данной категории дороги</v>
          </cell>
          <cell r="G249" t="str">
            <v>Район: Павловский \ Старолеушковская - Средний Челбас ;  км: 2+500 \ Приведение габарита и грузоподъемности сооружений в соответствие с нормами для данной категории дороги</v>
          </cell>
          <cell r="H249">
            <v>36982</v>
          </cell>
          <cell r="I249">
            <v>37165</v>
          </cell>
          <cell r="J249">
            <v>37072</v>
          </cell>
        </row>
        <row r="250">
          <cell r="A250">
            <v>248</v>
          </cell>
          <cell r="C250" t="str">
            <v>г.Сочи</v>
          </cell>
          <cell r="D250" t="str">
            <v>Мацеста -Семеновка км 9+600</v>
          </cell>
          <cell r="F250" t="str">
            <v>Приведение габарита и грузоподъемности сооружений в соответствие с нормами для данной категории дороги</v>
          </cell>
          <cell r="G250" t="str">
            <v>Район: г.Сочи \ Мацеста -Семеновка км 9+600 \ Приведение габарита и грузоподъемности сооружений в соответствие с нормами для данной категории дороги</v>
          </cell>
          <cell r="H250">
            <v>36982</v>
          </cell>
          <cell r="I250">
            <v>37165</v>
          </cell>
          <cell r="J250">
            <v>37072</v>
          </cell>
        </row>
        <row r="251">
          <cell r="A251">
            <v>249</v>
          </cell>
          <cell r="C251" t="str">
            <v>Северский</v>
          </cell>
          <cell r="D251" t="str">
            <v>Свердловский-Северская-Убинская км 34+880</v>
          </cell>
          <cell r="F251" t="str">
            <v>Приведение габарита и грузоподъемности сооружений в соответствие с нормами для данной категории дороги</v>
          </cell>
          <cell r="G251" t="str">
            <v>Район: Северский \ Свердловский-Северская-Убинская км 34+880 \ Приведение габарита и грузоподъемности сооружений в соответствие с нормами для данной категории дороги</v>
          </cell>
          <cell r="H251">
            <v>36982</v>
          </cell>
          <cell r="I251">
            <v>37165</v>
          </cell>
          <cell r="J251">
            <v>37072</v>
          </cell>
        </row>
        <row r="252">
          <cell r="A252">
            <v>250</v>
          </cell>
          <cell r="C252" t="str">
            <v>Туапсинский</v>
          </cell>
          <cell r="D252" t="str">
            <v>Георгиевское Б.Псеушко;мост ч/р Суббота км 1+650</v>
          </cell>
          <cell r="F252" t="str">
            <v>Приведение габарита и грузоподъемности сооружений в соответствие с нормами для данной категории дороги</v>
          </cell>
          <cell r="G252" t="str">
            <v>Район: Туапсинский \ Георгиевское Б.Псеушко;мост ч/р Суббота км 1+650 \ Приведение габарита и грузоподъемности сооружений в соответствие с нормами для данной категории дороги</v>
          </cell>
          <cell r="H252">
            <v>36982</v>
          </cell>
          <cell r="I252">
            <v>37165</v>
          </cell>
          <cell r="J252">
            <v>37072</v>
          </cell>
        </row>
        <row r="253">
          <cell r="A253">
            <v>251</v>
          </cell>
          <cell r="C253" t="str">
            <v>Щербиновский</v>
          </cell>
          <cell r="D253" t="str">
            <v>Краснодар - Ейск ;  км: 203+150-203+240 ( путепровод)</v>
          </cell>
          <cell r="F253" t="str">
            <v>Восстановление, частичная или полная замена гидроизоляции</v>
          </cell>
          <cell r="G253" t="str">
            <v>Район: Щербиновский \ Краснодар - Ейск ;  км: 203+150-203+240 ( путепровод) \ Восстановление, частичная или полная замена гидроизоляции</v>
          </cell>
          <cell r="H253">
            <v>36982</v>
          </cell>
          <cell r="I253">
            <v>37165</v>
          </cell>
          <cell r="J253">
            <v>37072</v>
          </cell>
        </row>
        <row r="254">
          <cell r="G254" t="str">
            <v>Район:  \  \ </v>
          </cell>
          <cell r="H254">
            <v>36982</v>
          </cell>
          <cell r="I254">
            <v>37165</v>
          </cell>
          <cell r="J254">
            <v>37072</v>
          </cell>
        </row>
      </sheetData>
      <sheetData sheetId="2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</row>
        <row r="5">
          <cell r="B5" t="str">
            <v>Район: Калининский \ Подъезд к с.Гришковское ;  км: 0+000-5+800 \ Поверхностная обработка (II вариант)</v>
          </cell>
          <cell r="K5">
            <v>96</v>
          </cell>
          <cell r="M5" t="str">
            <v>Калининский</v>
          </cell>
        </row>
        <row r="6">
          <cell r="A6" t="str">
            <v>96-1.1.</v>
          </cell>
          <cell r="B6" t="str">
            <v>Фонд заработной платы</v>
          </cell>
          <cell r="D6">
            <v>3010</v>
          </cell>
          <cell r="F6">
            <v>1832</v>
          </cell>
          <cell r="H6">
            <v>39143.76000000001</v>
          </cell>
          <cell r="I6">
            <v>21.366681222707427</v>
          </cell>
          <cell r="J6">
            <v>37311.76000000001</v>
          </cell>
          <cell r="K6">
            <v>96</v>
          </cell>
          <cell r="L6" t="str">
            <v>1.1.</v>
          </cell>
          <cell r="M6" t="str">
            <v>Калининский</v>
          </cell>
        </row>
        <row r="7">
          <cell r="A7" t="str">
            <v>96-1.1.1.</v>
          </cell>
          <cell r="B7" t="str">
            <v>Основные рабочие</v>
          </cell>
          <cell r="C7" t="str">
            <v>ч/ч</v>
          </cell>
          <cell r="D7">
            <v>1917</v>
          </cell>
          <cell r="E7">
            <v>0.5560772039645279</v>
          </cell>
          <cell r="F7">
            <v>1066</v>
          </cell>
          <cell r="G7">
            <v>12.38</v>
          </cell>
          <cell r="H7">
            <v>23732.460000000003</v>
          </cell>
          <cell r="I7">
            <v>22.263095684803005</v>
          </cell>
          <cell r="J7">
            <v>22666.460000000003</v>
          </cell>
          <cell r="K7">
            <v>96</v>
          </cell>
          <cell r="L7" t="str">
            <v>1.1.1.</v>
          </cell>
          <cell r="M7" t="str">
            <v>Калининский</v>
          </cell>
        </row>
        <row r="8">
          <cell r="A8" t="str">
            <v>96-1.1.2.</v>
          </cell>
          <cell r="B8" t="str">
            <v>Машинисты</v>
          </cell>
          <cell r="C8" t="str">
            <v>ч/ч</v>
          </cell>
          <cell r="D8">
            <v>1093</v>
          </cell>
          <cell r="E8">
            <v>0.701</v>
          </cell>
          <cell r="F8">
            <v>766</v>
          </cell>
          <cell r="G8">
            <v>14.100000000000003</v>
          </cell>
          <cell r="H8">
            <v>15411.300000000003</v>
          </cell>
          <cell r="I8">
            <v>20.1191906005222</v>
          </cell>
          <cell r="J8">
            <v>14645.300000000003</v>
          </cell>
          <cell r="K8">
            <v>96</v>
          </cell>
          <cell r="L8" t="str">
            <v>1.1.2.</v>
          </cell>
          <cell r="M8" t="str">
            <v>Калининский</v>
          </cell>
        </row>
        <row r="9">
          <cell r="M9" t="str">
            <v>Калининский</v>
          </cell>
        </row>
        <row r="10">
          <cell r="A10" t="str">
            <v>96-1.2.</v>
          </cell>
          <cell r="B10" t="str">
            <v>Технические ресурсы по нормам СНиП (без зарботной платы машиниста)</v>
          </cell>
          <cell r="F10">
            <v>1853</v>
          </cell>
          <cell r="H10">
            <v>91468.51358000001</v>
          </cell>
          <cell r="I10">
            <v>49.362392649757155</v>
          </cell>
          <cell r="J10">
            <v>89615.38258</v>
          </cell>
          <cell r="K10">
            <v>96</v>
          </cell>
          <cell r="L10" t="str">
            <v>1.2.</v>
          </cell>
          <cell r="M10" t="str">
            <v>Калининский</v>
          </cell>
        </row>
        <row r="11">
          <cell r="A11">
            <v>1</v>
          </cell>
          <cell r="B11" t="str">
            <v>Автогрейдер средний</v>
          </cell>
          <cell r="C11" t="str">
            <v>м/ч</v>
          </cell>
          <cell r="D11">
            <v>39.31</v>
          </cell>
          <cell r="E11">
            <v>2.48</v>
          </cell>
          <cell r="F11">
            <v>97.48880000000001</v>
          </cell>
          <cell r="G11">
            <v>125.03</v>
          </cell>
          <cell r="H11">
            <v>4914.929300000001</v>
          </cell>
          <cell r="I11">
            <v>50.41532258064516</v>
          </cell>
          <cell r="J11">
            <v>4817.440500000001</v>
          </cell>
          <cell r="M11" t="str">
            <v>Калининский</v>
          </cell>
        </row>
        <row r="12">
          <cell r="A12">
            <v>2</v>
          </cell>
          <cell r="B12" t="str">
            <v>Щебнераспределитель</v>
          </cell>
          <cell r="C12" t="str">
            <v>м/ч</v>
          </cell>
          <cell r="D12">
            <v>36.12</v>
          </cell>
          <cell r="E12">
            <v>4.21</v>
          </cell>
          <cell r="F12">
            <v>152.06519999999998</v>
          </cell>
          <cell r="G12">
            <v>86.93</v>
          </cell>
          <cell r="H12">
            <v>3139.9116</v>
          </cell>
          <cell r="I12">
            <v>20.648456057007127</v>
          </cell>
          <cell r="J12">
            <v>2987.8464</v>
          </cell>
          <cell r="M12" t="str">
            <v>Калининский</v>
          </cell>
        </row>
        <row r="13">
          <cell r="A13">
            <v>3</v>
          </cell>
          <cell r="B13" t="str">
            <v>Автогудронатор 3500л</v>
          </cell>
          <cell r="C13" t="str">
            <v>м/ч</v>
          </cell>
          <cell r="D13">
            <v>15.48</v>
          </cell>
          <cell r="E13">
            <v>5.993</v>
          </cell>
          <cell r="F13">
            <v>92.77164</v>
          </cell>
          <cell r="G13">
            <v>77.02</v>
          </cell>
          <cell r="H13">
            <v>1192.2696</v>
          </cell>
          <cell r="I13">
            <v>12.851660270315367</v>
          </cell>
          <cell r="J13">
            <v>1099.4979600000001</v>
          </cell>
          <cell r="M13" t="str">
            <v>Калининский</v>
          </cell>
        </row>
        <row r="14">
          <cell r="A14">
            <v>4</v>
          </cell>
          <cell r="B14" t="str">
            <v>Машина поливомоечная</v>
          </cell>
          <cell r="C14" t="str">
            <v>м/ч</v>
          </cell>
          <cell r="D14">
            <v>13.031999999999998</v>
          </cell>
          <cell r="E14">
            <v>6.16</v>
          </cell>
          <cell r="F14">
            <v>80.27712</v>
          </cell>
          <cell r="G14">
            <v>197.6</v>
          </cell>
          <cell r="H14">
            <v>2575.1231999999995</v>
          </cell>
          <cell r="I14">
            <v>32.077922077922075</v>
          </cell>
          <cell r="J14">
            <v>2494.8460799999993</v>
          </cell>
          <cell r="M14" t="str">
            <v>Калининский</v>
          </cell>
        </row>
        <row r="15">
          <cell r="A15">
            <v>5</v>
          </cell>
          <cell r="B15" t="str">
            <v>Каток  самоходный гладкий 5 тн </v>
          </cell>
          <cell r="C15" t="str">
            <v>м/ч</v>
          </cell>
          <cell r="D15">
            <v>242.16</v>
          </cell>
          <cell r="E15">
            <v>1.81</v>
          </cell>
          <cell r="F15">
            <v>438.3096</v>
          </cell>
          <cell r="G15">
            <v>80.16</v>
          </cell>
          <cell r="H15">
            <v>19411.545599999998</v>
          </cell>
          <cell r="I15">
            <v>44.28729281767956</v>
          </cell>
          <cell r="J15">
            <v>18973.235999999997</v>
          </cell>
          <cell r="M15" t="str">
            <v>Калининский</v>
          </cell>
        </row>
        <row r="16">
          <cell r="A16">
            <v>6</v>
          </cell>
          <cell r="B16" t="str">
            <v>Каток вальцевый  10 тн </v>
          </cell>
          <cell r="C16" t="str">
            <v>м/ч</v>
          </cell>
          <cell r="D16">
            <v>389.94</v>
          </cell>
          <cell r="E16">
            <v>1.69</v>
          </cell>
          <cell r="F16">
            <v>659</v>
          </cell>
          <cell r="G16">
            <v>117.14</v>
          </cell>
          <cell r="H16">
            <v>45677.5716</v>
          </cell>
          <cell r="I16">
            <v>69.313462215478</v>
          </cell>
          <cell r="J16">
            <v>45018.5716</v>
          </cell>
          <cell r="M16" t="str">
            <v>Калининский</v>
          </cell>
        </row>
        <row r="17">
          <cell r="A17">
            <v>7</v>
          </cell>
          <cell r="B17" t="str">
            <v>Укладчик а/бетона</v>
          </cell>
          <cell r="C17" t="str">
            <v>м/ч</v>
          </cell>
          <cell r="D17">
            <v>77.064</v>
          </cell>
          <cell r="E17">
            <v>2.29</v>
          </cell>
          <cell r="F17">
            <v>176.47655999999998</v>
          </cell>
          <cell r="G17">
            <v>148.81</v>
          </cell>
          <cell r="H17">
            <v>11467.893839999999</v>
          </cell>
          <cell r="I17">
            <v>64.98253275109171</v>
          </cell>
          <cell r="J17">
            <v>11291.41728</v>
          </cell>
          <cell r="M17" t="str">
            <v>Калининский</v>
          </cell>
        </row>
        <row r="18">
          <cell r="A18">
            <v>8</v>
          </cell>
          <cell r="B18" t="str">
            <v>Пневмокаток 18тн</v>
          </cell>
          <cell r="C18" t="str">
            <v>м/ч</v>
          </cell>
          <cell r="D18">
            <v>5.04</v>
          </cell>
          <cell r="E18">
            <v>4.88</v>
          </cell>
          <cell r="F18">
            <v>24.5952</v>
          </cell>
          <cell r="G18">
            <v>94.73</v>
          </cell>
          <cell r="H18">
            <v>477.4392</v>
          </cell>
          <cell r="I18">
            <v>19.41188524590164</v>
          </cell>
          <cell r="J18">
            <v>452.84400000000005</v>
          </cell>
          <cell r="M18" t="str">
            <v>Калининский</v>
          </cell>
        </row>
        <row r="19">
          <cell r="A19">
            <v>9</v>
          </cell>
          <cell r="B19" t="str">
            <v>Автогудронатор 7000 л</v>
          </cell>
          <cell r="C19" t="str">
            <v>м/ч</v>
          </cell>
          <cell r="D19">
            <v>10.404</v>
          </cell>
          <cell r="E19">
            <v>7.22</v>
          </cell>
          <cell r="F19">
            <v>75.11688</v>
          </cell>
          <cell r="G19">
            <v>141.41</v>
          </cell>
          <cell r="H19">
            <v>1471.22964</v>
          </cell>
          <cell r="I19">
            <v>19.585872576177287</v>
          </cell>
          <cell r="J19">
            <v>1396.11276</v>
          </cell>
          <cell r="M19" t="str">
            <v>Калининский</v>
          </cell>
        </row>
        <row r="20">
          <cell r="A20">
            <v>10</v>
          </cell>
          <cell r="B20" t="str">
            <v>Прочие машины</v>
          </cell>
          <cell r="C20" t="str">
            <v>руб</v>
          </cell>
          <cell r="D20">
            <v>57.03</v>
          </cell>
          <cell r="E20">
            <v>1</v>
          </cell>
          <cell r="F20">
            <v>57.03</v>
          </cell>
          <cell r="G20">
            <v>20</v>
          </cell>
          <cell r="H20">
            <v>1140.6</v>
          </cell>
          <cell r="I20">
            <v>19.999999999999996</v>
          </cell>
          <cell r="J20">
            <v>1083.57</v>
          </cell>
          <cell r="M20" t="str">
            <v>Калининский</v>
          </cell>
        </row>
        <row r="21">
          <cell r="M21" t="str">
            <v>Калининский</v>
          </cell>
        </row>
        <row r="22">
          <cell r="A22" t="str">
            <v>96-1.3.</v>
          </cell>
          <cell r="B22" t="str">
            <v>Материалы +транспортные расходы+заготовительно складские</v>
          </cell>
          <cell r="F22">
            <v>60357.78</v>
          </cell>
          <cell r="H22">
            <v>1917925.6</v>
          </cell>
          <cell r="I22">
            <v>31.775946696515348</v>
          </cell>
          <cell r="J22">
            <v>1857567.8199999998</v>
          </cell>
          <cell r="K22">
            <v>96</v>
          </cell>
          <cell r="L22" t="str">
            <v>1.3.</v>
          </cell>
          <cell r="M22" t="str">
            <v>Калининский</v>
          </cell>
        </row>
        <row r="23">
          <cell r="B23" t="str">
            <v>Материальные ресурсы по нормам СНиП</v>
          </cell>
          <cell r="F23">
            <v>44641.05</v>
          </cell>
          <cell r="H23">
            <v>1633625.1400000001</v>
          </cell>
          <cell r="I23">
            <v>36.59468448882811</v>
          </cell>
          <cell r="J23">
            <v>1588984.0899999999</v>
          </cell>
          <cell r="M23" t="str">
            <v>Калининский</v>
          </cell>
        </row>
        <row r="24">
          <cell r="A24">
            <v>1</v>
          </cell>
          <cell r="B24" t="str">
            <v>ПГС</v>
          </cell>
          <cell r="C24" t="str">
            <v>м3</v>
          </cell>
          <cell r="D24">
            <v>833</v>
          </cell>
          <cell r="E24">
            <v>1.9</v>
          </cell>
          <cell r="F24">
            <v>1582.6999999999998</v>
          </cell>
          <cell r="G24">
            <v>40.57</v>
          </cell>
          <cell r="H24">
            <v>33794.81</v>
          </cell>
          <cell r="I24">
            <v>21.35263157894737</v>
          </cell>
          <cell r="J24">
            <v>32212.109999999997</v>
          </cell>
          <cell r="M24" t="str">
            <v>Калининский</v>
          </cell>
        </row>
        <row r="25">
          <cell r="A25">
            <v>2</v>
          </cell>
          <cell r="B25" t="str">
            <v>Битум вязкий </v>
          </cell>
          <cell r="C25" t="str">
            <v>т</v>
          </cell>
          <cell r="D25">
            <v>30</v>
          </cell>
          <cell r="E25">
            <v>65.88</v>
          </cell>
          <cell r="F25">
            <v>1976.3999999999999</v>
          </cell>
          <cell r="G25">
            <v>3528.4</v>
          </cell>
          <cell r="H25">
            <v>105852</v>
          </cell>
          <cell r="I25">
            <v>53.55798421372192</v>
          </cell>
          <cell r="J25">
            <v>103875.6</v>
          </cell>
          <cell r="M25" t="str">
            <v>Калининский</v>
          </cell>
        </row>
        <row r="26">
          <cell r="A26">
            <v>3</v>
          </cell>
          <cell r="B26" t="str">
            <v>Битум жидкий</v>
          </cell>
          <cell r="C26" t="str">
            <v>т</v>
          </cell>
          <cell r="D26">
            <v>15</v>
          </cell>
          <cell r="E26">
            <v>63.37</v>
          </cell>
          <cell r="F26">
            <v>950.55</v>
          </cell>
          <cell r="G26">
            <v>3493.63</v>
          </cell>
          <cell r="H26">
            <v>52404.450000000004</v>
          </cell>
          <cell r="I26">
            <v>55.1306611961496</v>
          </cell>
          <cell r="J26">
            <v>51453.9</v>
          </cell>
          <cell r="M26" t="str">
            <v>Калининский</v>
          </cell>
        </row>
        <row r="27">
          <cell r="A27">
            <v>4</v>
          </cell>
          <cell r="B27" t="str">
            <v>М/з а/ бетонная смесь</v>
          </cell>
          <cell r="C27" t="str">
            <v>т</v>
          </cell>
          <cell r="D27">
            <v>1990</v>
          </cell>
          <cell r="E27">
            <v>14.84</v>
          </cell>
          <cell r="F27">
            <v>29531.6</v>
          </cell>
          <cell r="G27">
            <v>569.5</v>
          </cell>
          <cell r="H27">
            <v>1133305</v>
          </cell>
          <cell r="I27">
            <v>38.37601078167116</v>
          </cell>
          <cell r="J27">
            <v>1103773.4</v>
          </cell>
          <cell r="M27" t="str">
            <v>Калининский</v>
          </cell>
        </row>
        <row r="28">
          <cell r="A28">
            <v>5</v>
          </cell>
          <cell r="B28" t="str">
            <v>Черный щебень</v>
          </cell>
          <cell r="C28" t="str">
            <v>т</v>
          </cell>
          <cell r="D28">
            <v>826</v>
          </cell>
          <cell r="E28">
            <v>12.799999999999999</v>
          </cell>
          <cell r="F28">
            <v>10572.8</v>
          </cell>
          <cell r="G28">
            <v>372.88</v>
          </cell>
          <cell r="H28">
            <v>307998.88</v>
          </cell>
          <cell r="I28">
            <v>29.13125</v>
          </cell>
          <cell r="J28">
            <v>297426.08</v>
          </cell>
          <cell r="M28" t="str">
            <v>Калининский</v>
          </cell>
        </row>
        <row r="29">
          <cell r="A29">
            <v>6</v>
          </cell>
          <cell r="B29" t="str">
            <v>Прочие материалы</v>
          </cell>
          <cell r="C29" t="str">
            <v>руб.</v>
          </cell>
          <cell r="D29">
            <v>27</v>
          </cell>
          <cell r="E29">
            <v>1</v>
          </cell>
          <cell r="F29">
            <v>27</v>
          </cell>
          <cell r="G29">
            <v>10</v>
          </cell>
          <cell r="H29">
            <v>270</v>
          </cell>
          <cell r="I29">
            <v>10</v>
          </cell>
          <cell r="J29">
            <v>243</v>
          </cell>
          <cell r="M29" t="str">
            <v>Калининский</v>
          </cell>
        </row>
        <row r="30">
          <cell r="A30">
            <v>7</v>
          </cell>
          <cell r="F30">
            <v>0</v>
          </cell>
          <cell r="H30">
            <v>0</v>
          </cell>
          <cell r="I30" t="e">
            <v>#DIV/0!</v>
          </cell>
          <cell r="J30">
            <v>0</v>
          </cell>
          <cell r="M30" t="str">
            <v>Калининский</v>
          </cell>
        </row>
        <row r="31">
          <cell r="A31">
            <v>8</v>
          </cell>
          <cell r="F31">
            <v>0</v>
          </cell>
          <cell r="H31">
            <v>0</v>
          </cell>
          <cell r="I31" t="e">
            <v>#DIV/0!</v>
          </cell>
          <cell r="J31">
            <v>0</v>
          </cell>
          <cell r="M31" t="str">
            <v>Калининский</v>
          </cell>
        </row>
        <row r="32">
          <cell r="A32">
            <v>9</v>
          </cell>
          <cell r="F32">
            <v>0</v>
          </cell>
          <cell r="H32">
            <v>0</v>
          </cell>
          <cell r="I32" t="e">
            <v>#DIV/0!</v>
          </cell>
          <cell r="J32">
            <v>0</v>
          </cell>
          <cell r="M32" t="str">
            <v>Калининский</v>
          </cell>
        </row>
        <row r="33">
          <cell r="A33">
            <v>10</v>
          </cell>
          <cell r="F33">
            <v>0</v>
          </cell>
          <cell r="H33">
            <v>0</v>
          </cell>
          <cell r="I33" t="e">
            <v>#DIV/0!</v>
          </cell>
          <cell r="J33">
            <v>0</v>
          </cell>
          <cell r="M33" t="str">
            <v>Калининский</v>
          </cell>
        </row>
        <row r="34">
          <cell r="M34" t="str">
            <v>Калининский</v>
          </cell>
        </row>
        <row r="35">
          <cell r="B35" t="str">
            <v>Транспортировка материалов, т (вид транспорта, км)</v>
          </cell>
          <cell r="F35">
            <v>15716.73</v>
          </cell>
          <cell r="H35">
            <v>284300.46</v>
          </cell>
          <cell r="I35">
            <v>18.08903378756268</v>
          </cell>
          <cell r="J35">
            <v>268583.73</v>
          </cell>
          <cell r="M35" t="str">
            <v>Калининский</v>
          </cell>
        </row>
        <row r="36">
          <cell r="A36">
            <v>1</v>
          </cell>
          <cell r="B36" t="str">
            <v>ПГС - 154 км</v>
          </cell>
          <cell r="C36" t="str">
            <v>т</v>
          </cell>
          <cell r="D36">
            <v>1499</v>
          </cell>
          <cell r="E36">
            <v>7.31</v>
          </cell>
          <cell r="F36">
            <v>10957.689999999999</v>
          </cell>
          <cell r="G36">
            <v>150.98</v>
          </cell>
          <cell r="H36">
            <v>226319.02</v>
          </cell>
          <cell r="I36">
            <v>20.65389876880985</v>
          </cell>
          <cell r="J36">
            <v>215361.33</v>
          </cell>
          <cell r="M36" t="str">
            <v>Калининский</v>
          </cell>
        </row>
        <row r="37">
          <cell r="A37">
            <v>2</v>
          </cell>
          <cell r="B37" t="str">
            <v>Битум вязкий -57 км</v>
          </cell>
          <cell r="C37" t="str">
            <v>т</v>
          </cell>
          <cell r="D37">
            <v>0</v>
          </cell>
          <cell r="E37">
            <v>0</v>
          </cell>
          <cell r="F37">
            <v>0</v>
          </cell>
          <cell r="G37">
            <v>105.296</v>
          </cell>
          <cell r="H37">
            <v>0</v>
          </cell>
          <cell r="I37" t="e">
            <v>#DIV/0!</v>
          </cell>
          <cell r="J37">
            <v>0</v>
          </cell>
          <cell r="M37" t="str">
            <v>Калининский</v>
          </cell>
        </row>
        <row r="38">
          <cell r="A38">
            <v>3</v>
          </cell>
          <cell r="B38" t="str">
            <v>Битум жидкий-57 км</v>
          </cell>
          <cell r="C38" t="str">
            <v>т</v>
          </cell>
          <cell r="D38">
            <v>0</v>
          </cell>
          <cell r="E38">
            <v>0</v>
          </cell>
          <cell r="F38">
            <v>0</v>
          </cell>
          <cell r="G38">
            <v>105.296</v>
          </cell>
          <cell r="H38">
            <v>0</v>
          </cell>
          <cell r="I38" t="e">
            <v>#DIV/0!</v>
          </cell>
          <cell r="J38">
            <v>0</v>
          </cell>
          <cell r="M38" t="str">
            <v>Калининский</v>
          </cell>
        </row>
        <row r="39">
          <cell r="A39">
            <v>4</v>
          </cell>
          <cell r="B39" t="str">
            <v>М/з а/ бетонная смесь -17 км</v>
          </cell>
          <cell r="C39" t="str">
            <v>т</v>
          </cell>
          <cell r="D39">
            <v>1990</v>
          </cell>
          <cell r="E39">
            <v>1.69</v>
          </cell>
          <cell r="F39">
            <v>3363.1</v>
          </cell>
          <cell r="G39">
            <v>20.59</v>
          </cell>
          <cell r="H39">
            <v>40974.1</v>
          </cell>
          <cell r="I39">
            <v>12.183431952662723</v>
          </cell>
          <cell r="J39">
            <v>37611</v>
          </cell>
          <cell r="M39" t="str">
            <v>Калининский</v>
          </cell>
        </row>
        <row r="40">
          <cell r="A40">
            <v>5</v>
          </cell>
          <cell r="B40" t="str">
            <v>Черный щебень-17 км</v>
          </cell>
          <cell r="C40" t="str">
            <v>т</v>
          </cell>
          <cell r="D40">
            <v>826</v>
          </cell>
          <cell r="E40">
            <v>1.69</v>
          </cell>
          <cell r="F40">
            <v>1395.94</v>
          </cell>
          <cell r="G40">
            <v>20.59</v>
          </cell>
          <cell r="H40">
            <v>17007.34</v>
          </cell>
          <cell r="I40">
            <v>12.18343195266272</v>
          </cell>
          <cell r="J40">
            <v>15611.4</v>
          </cell>
          <cell r="M40" t="str">
            <v>Калининский</v>
          </cell>
        </row>
        <row r="41">
          <cell r="A41">
            <v>6</v>
          </cell>
          <cell r="C41" t="str">
            <v>т</v>
          </cell>
          <cell r="H41">
            <v>0</v>
          </cell>
          <cell r="I41" t="e">
            <v>#DIV/0!</v>
          </cell>
          <cell r="J41">
            <v>0</v>
          </cell>
          <cell r="M41" t="str">
            <v>Калининский</v>
          </cell>
        </row>
        <row r="42">
          <cell r="A42">
            <v>7</v>
          </cell>
          <cell r="C42" t="str">
            <v>т</v>
          </cell>
          <cell r="F42">
            <v>0</v>
          </cell>
          <cell r="H42">
            <v>0</v>
          </cell>
          <cell r="I42" t="e">
            <v>#DIV/0!</v>
          </cell>
          <cell r="J42">
            <v>0</v>
          </cell>
          <cell r="M42" t="str">
            <v>Калининский</v>
          </cell>
        </row>
        <row r="43">
          <cell r="A43">
            <v>8</v>
          </cell>
          <cell r="C43" t="str">
            <v>т</v>
          </cell>
          <cell r="F43">
            <v>0</v>
          </cell>
          <cell r="H43">
            <v>0</v>
          </cell>
          <cell r="I43" t="e">
            <v>#DIV/0!</v>
          </cell>
          <cell r="J43">
            <v>0</v>
          </cell>
          <cell r="M43" t="str">
            <v>Калининский</v>
          </cell>
        </row>
        <row r="44">
          <cell r="A44">
            <v>9</v>
          </cell>
          <cell r="C44" t="str">
            <v>т</v>
          </cell>
          <cell r="F44">
            <v>0</v>
          </cell>
          <cell r="H44">
            <v>0</v>
          </cell>
          <cell r="I44" t="e">
            <v>#DIV/0!</v>
          </cell>
          <cell r="J44">
            <v>0</v>
          </cell>
          <cell r="M44" t="str">
            <v>Калининский</v>
          </cell>
        </row>
        <row r="45">
          <cell r="A45">
            <v>10</v>
          </cell>
          <cell r="C45" t="str">
            <v>т</v>
          </cell>
          <cell r="F45">
            <v>0</v>
          </cell>
          <cell r="H45">
            <v>0</v>
          </cell>
          <cell r="I45" t="e">
            <v>#DIV/0!</v>
          </cell>
          <cell r="J45">
            <v>0</v>
          </cell>
          <cell r="M45" t="str">
            <v>Калининский</v>
          </cell>
        </row>
        <row r="46">
          <cell r="M46" t="str">
            <v>Калининский</v>
          </cell>
        </row>
        <row r="47">
          <cell r="B47" t="str">
            <v>Заготовительно-складские расходы</v>
          </cell>
          <cell r="F47">
            <v>0</v>
          </cell>
          <cell r="H47">
            <v>0</v>
          </cell>
          <cell r="I47" t="e">
            <v>#DIV/0!</v>
          </cell>
          <cell r="J47">
            <v>0</v>
          </cell>
          <cell r="M47" t="str">
            <v>Калининский</v>
          </cell>
        </row>
        <row r="48">
          <cell r="A48">
            <v>1</v>
          </cell>
          <cell r="B48" t="str">
            <v>ПГС</v>
          </cell>
          <cell r="C48" t="str">
            <v>руб</v>
          </cell>
          <cell r="E48">
            <v>12540.39</v>
          </cell>
          <cell r="F48">
            <v>0</v>
          </cell>
          <cell r="H48">
            <v>0</v>
          </cell>
          <cell r="I48" t="e">
            <v>#DIV/0!</v>
          </cell>
          <cell r="J48">
            <v>0</v>
          </cell>
          <cell r="M48" t="str">
            <v>Калининский</v>
          </cell>
        </row>
        <row r="49">
          <cell r="A49">
            <v>2</v>
          </cell>
          <cell r="B49" t="str">
            <v>Битум вязкий </v>
          </cell>
          <cell r="C49" t="str">
            <v>руб</v>
          </cell>
          <cell r="E49">
            <v>1976.3999999999999</v>
          </cell>
          <cell r="F49">
            <v>0</v>
          </cell>
          <cell r="H49">
            <v>0</v>
          </cell>
          <cell r="I49" t="e">
            <v>#DIV/0!</v>
          </cell>
          <cell r="J49">
            <v>0</v>
          </cell>
          <cell r="M49" t="str">
            <v>Калининский</v>
          </cell>
        </row>
        <row r="50">
          <cell r="A50">
            <v>3</v>
          </cell>
          <cell r="B50" t="str">
            <v>Битум жидкий</v>
          </cell>
          <cell r="C50" t="str">
            <v>руб</v>
          </cell>
          <cell r="E50">
            <v>950.55</v>
          </cell>
          <cell r="F50">
            <v>0</v>
          </cell>
          <cell r="H50">
            <v>0</v>
          </cell>
          <cell r="I50" t="e">
            <v>#DIV/0!</v>
          </cell>
          <cell r="J50">
            <v>0</v>
          </cell>
          <cell r="M50" t="str">
            <v>Калининский</v>
          </cell>
        </row>
        <row r="51">
          <cell r="A51">
            <v>4</v>
          </cell>
          <cell r="B51" t="str">
            <v>М/з а/ бетонная смесь</v>
          </cell>
          <cell r="C51" t="str">
            <v>руб</v>
          </cell>
          <cell r="E51">
            <v>32894.7</v>
          </cell>
          <cell r="F51">
            <v>0</v>
          </cell>
          <cell r="H51">
            <v>0</v>
          </cell>
          <cell r="I51" t="e">
            <v>#DIV/0!</v>
          </cell>
          <cell r="J51">
            <v>0</v>
          </cell>
          <cell r="M51" t="str">
            <v>Калининский</v>
          </cell>
        </row>
        <row r="52">
          <cell r="A52">
            <v>5</v>
          </cell>
          <cell r="B52" t="str">
            <v>Черный щебень</v>
          </cell>
          <cell r="C52" t="str">
            <v>руб</v>
          </cell>
          <cell r="E52">
            <v>11968.74</v>
          </cell>
          <cell r="F52">
            <v>0</v>
          </cell>
          <cell r="H52">
            <v>0</v>
          </cell>
          <cell r="I52" t="e">
            <v>#DIV/0!</v>
          </cell>
          <cell r="J52">
            <v>0</v>
          </cell>
          <cell r="M52" t="str">
            <v>Калининский</v>
          </cell>
        </row>
        <row r="53">
          <cell r="A53">
            <v>6</v>
          </cell>
          <cell r="B53" t="str">
            <v>Прочие материалы</v>
          </cell>
          <cell r="C53" t="str">
            <v>руб</v>
          </cell>
          <cell r="E53">
            <v>27</v>
          </cell>
          <cell r="F53">
            <v>0</v>
          </cell>
          <cell r="H53">
            <v>0</v>
          </cell>
          <cell r="I53" t="e">
            <v>#DIV/0!</v>
          </cell>
          <cell r="J53">
            <v>0</v>
          </cell>
          <cell r="M53" t="str">
            <v>Калининский</v>
          </cell>
        </row>
        <row r="54">
          <cell r="A54">
            <v>7</v>
          </cell>
          <cell r="B54">
            <v>0</v>
          </cell>
          <cell r="C54" t="str">
            <v>руб</v>
          </cell>
          <cell r="E54">
            <v>0</v>
          </cell>
          <cell r="F54">
            <v>0</v>
          </cell>
          <cell r="H54">
            <v>0</v>
          </cell>
          <cell r="I54" t="e">
            <v>#DIV/0!</v>
          </cell>
          <cell r="J54">
            <v>0</v>
          </cell>
          <cell r="M54" t="str">
            <v>Калининский</v>
          </cell>
        </row>
        <row r="55">
          <cell r="A55">
            <v>8</v>
          </cell>
          <cell r="B55">
            <v>0</v>
          </cell>
          <cell r="C55" t="str">
            <v>руб</v>
          </cell>
          <cell r="E55">
            <v>0</v>
          </cell>
          <cell r="F55">
            <v>0</v>
          </cell>
          <cell r="H55">
            <v>0</v>
          </cell>
          <cell r="I55" t="e">
            <v>#DIV/0!</v>
          </cell>
          <cell r="J55">
            <v>0</v>
          </cell>
          <cell r="M55" t="str">
            <v>Калининский</v>
          </cell>
        </row>
        <row r="56">
          <cell r="A56">
            <v>9</v>
          </cell>
          <cell r="B56">
            <v>0</v>
          </cell>
          <cell r="C56" t="str">
            <v>руб</v>
          </cell>
          <cell r="E56">
            <v>0</v>
          </cell>
          <cell r="F56">
            <v>0</v>
          </cell>
          <cell r="H56">
            <v>0</v>
          </cell>
          <cell r="I56" t="e">
            <v>#DIV/0!</v>
          </cell>
          <cell r="J56">
            <v>0</v>
          </cell>
          <cell r="M56" t="str">
            <v>Калининский</v>
          </cell>
        </row>
        <row r="57">
          <cell r="A57">
            <v>10</v>
          </cell>
          <cell r="B57">
            <v>0</v>
          </cell>
          <cell r="C57" t="str">
            <v>руб</v>
          </cell>
          <cell r="E57">
            <v>0</v>
          </cell>
          <cell r="F57">
            <v>0</v>
          </cell>
          <cell r="H57">
            <v>0</v>
          </cell>
          <cell r="I57" t="e">
            <v>#DIV/0!</v>
          </cell>
          <cell r="J57">
            <v>0</v>
          </cell>
          <cell r="M57" t="str">
            <v>Калининский</v>
          </cell>
        </row>
        <row r="58">
          <cell r="M58" t="str">
            <v>Калининский</v>
          </cell>
        </row>
        <row r="59">
          <cell r="M59" t="str">
            <v>Калининский</v>
          </cell>
        </row>
        <row r="60">
          <cell r="B60" t="str">
            <v>Составил:______________________________</v>
          </cell>
          <cell r="M60" t="str">
            <v>Калининский</v>
          </cell>
        </row>
        <row r="61">
          <cell r="B61" t="str">
            <v>Начальник ТДО: ________________________</v>
          </cell>
          <cell r="M61" t="str">
            <v>Калининский</v>
          </cell>
        </row>
        <row r="62">
          <cell r="B62" t="str">
            <v>Район: Калининский \ Калининская - Новониколаевская ;  км: 11+000-17+800 ; 29+200-30+500 \ Поверхностная обработка (II вариант)</v>
          </cell>
          <cell r="K62">
            <v>97</v>
          </cell>
          <cell r="M62" t="str">
            <v>Калининский</v>
          </cell>
        </row>
        <row r="63">
          <cell r="A63" t="str">
            <v>97-1.1.</v>
          </cell>
          <cell r="B63" t="str">
            <v>Фонд заработной платы</v>
          </cell>
          <cell r="D63">
            <v>4973</v>
          </cell>
          <cell r="F63">
            <v>3029</v>
          </cell>
          <cell r="H63">
            <v>64290.65700000001</v>
          </cell>
          <cell r="I63">
            <v>21.22504357873886</v>
          </cell>
          <cell r="J63">
            <v>61261.65700000001</v>
          </cell>
          <cell r="K63">
            <v>97</v>
          </cell>
          <cell r="L63" t="str">
            <v>1.1.</v>
          </cell>
          <cell r="M63" t="str">
            <v>Калининский</v>
          </cell>
        </row>
        <row r="64">
          <cell r="A64" t="str">
            <v>97-1.1.1.</v>
          </cell>
          <cell r="B64" t="str">
            <v>Основные рабочие</v>
          </cell>
          <cell r="C64" t="str">
            <v>ч/ч</v>
          </cell>
          <cell r="D64">
            <v>3137</v>
          </cell>
          <cell r="E64">
            <v>0.5540325151418553</v>
          </cell>
          <cell r="F64">
            <v>1738</v>
          </cell>
          <cell r="G64">
            <v>12.201000000000002</v>
          </cell>
          <cell r="H64">
            <v>38274.537000000004</v>
          </cell>
          <cell r="I64">
            <v>22.022173187571923</v>
          </cell>
          <cell r="J64">
            <v>36536.537000000004</v>
          </cell>
          <cell r="K64">
            <v>97</v>
          </cell>
          <cell r="L64" t="str">
            <v>1.1.1.</v>
          </cell>
          <cell r="M64" t="str">
            <v>Калининский</v>
          </cell>
        </row>
        <row r="65">
          <cell r="A65" t="str">
            <v>97-1.1.2.</v>
          </cell>
          <cell r="B65" t="str">
            <v>Машинисты</v>
          </cell>
          <cell r="C65" t="str">
            <v>ч/ч</v>
          </cell>
          <cell r="D65">
            <v>1836</v>
          </cell>
          <cell r="E65">
            <v>0.7031590413943355</v>
          </cell>
          <cell r="F65">
            <v>1291</v>
          </cell>
          <cell r="G65">
            <v>14.17</v>
          </cell>
          <cell r="H65">
            <v>26016.12</v>
          </cell>
          <cell r="I65">
            <v>20.151913245546087</v>
          </cell>
          <cell r="J65">
            <v>24725.12</v>
          </cell>
          <cell r="K65">
            <v>97</v>
          </cell>
          <cell r="L65" t="str">
            <v>1.1.2.</v>
          </cell>
          <cell r="M65" t="str">
            <v>Калининский</v>
          </cell>
        </row>
        <row r="66">
          <cell r="M66" t="str">
            <v>Калининский</v>
          </cell>
        </row>
        <row r="67">
          <cell r="A67" t="str">
            <v>97-1.2.</v>
          </cell>
          <cell r="B67" t="str">
            <v>Технические ресурсы по нормам СНиП (без зарботной платы машиниста)</v>
          </cell>
          <cell r="F67">
            <v>3125.006</v>
          </cell>
          <cell r="H67">
            <v>175448.81647999998</v>
          </cell>
          <cell r="I67">
            <v>56.14351347805412</v>
          </cell>
          <cell r="J67">
            <v>172323.81048</v>
          </cell>
          <cell r="K67">
            <v>97</v>
          </cell>
          <cell r="L67" t="str">
            <v>1.2.</v>
          </cell>
          <cell r="M67" t="str">
            <v>Калининский</v>
          </cell>
        </row>
        <row r="68">
          <cell r="A68">
            <v>1</v>
          </cell>
          <cell r="B68" t="str">
            <v>Автогрейдер средний</v>
          </cell>
          <cell r="C68" t="str">
            <v>м/ч</v>
          </cell>
          <cell r="D68">
            <v>84.24</v>
          </cell>
          <cell r="E68">
            <v>2.48</v>
          </cell>
          <cell r="F68">
            <v>208.9152</v>
          </cell>
          <cell r="G68">
            <v>125.03</v>
          </cell>
          <cell r="H68">
            <v>10532.527199999999</v>
          </cell>
          <cell r="I68">
            <v>50.41532258064515</v>
          </cell>
          <cell r="J68">
            <v>10323.612</v>
          </cell>
          <cell r="M68" t="str">
            <v>Калининский</v>
          </cell>
        </row>
        <row r="69">
          <cell r="A69">
            <v>2</v>
          </cell>
          <cell r="B69" t="str">
            <v>Щебнераспределитель</v>
          </cell>
          <cell r="C69" t="str">
            <v>м/ч</v>
          </cell>
          <cell r="D69">
            <v>77.196</v>
          </cell>
          <cell r="E69">
            <v>4.21</v>
          </cell>
          <cell r="F69">
            <v>325</v>
          </cell>
          <cell r="G69">
            <v>86.93</v>
          </cell>
          <cell r="H69">
            <v>6710.64828</v>
          </cell>
          <cell r="I69">
            <v>20.648148553846156</v>
          </cell>
          <cell r="J69">
            <v>6385.64828</v>
          </cell>
          <cell r="M69" t="str">
            <v>Калининский</v>
          </cell>
        </row>
        <row r="70">
          <cell r="A70">
            <v>3</v>
          </cell>
          <cell r="B70" t="str">
            <v>Автогудронатор 3500л</v>
          </cell>
          <cell r="C70" t="str">
            <v>м/ч</v>
          </cell>
          <cell r="D70">
            <v>29.52</v>
          </cell>
          <cell r="E70">
            <v>5.99</v>
          </cell>
          <cell r="F70">
            <v>176.8248</v>
          </cell>
          <cell r="G70">
            <v>77.02</v>
          </cell>
          <cell r="H70">
            <v>2273.6304</v>
          </cell>
          <cell r="I70">
            <v>12.858096828046744</v>
          </cell>
          <cell r="J70">
            <v>2096.8056</v>
          </cell>
          <cell r="M70" t="str">
            <v>Калининский</v>
          </cell>
        </row>
        <row r="71">
          <cell r="A71">
            <v>4</v>
          </cell>
          <cell r="B71" t="str">
            <v>Машина поливомоечная</v>
          </cell>
          <cell r="C71" t="str">
            <v>м/ч</v>
          </cell>
          <cell r="D71">
            <v>27.936</v>
          </cell>
          <cell r="E71">
            <v>6.16</v>
          </cell>
          <cell r="F71">
            <v>172.08576</v>
          </cell>
          <cell r="G71">
            <v>197.6</v>
          </cell>
          <cell r="H71">
            <v>5520.1536</v>
          </cell>
          <cell r="I71">
            <v>32.077922077922075</v>
          </cell>
          <cell r="J71">
            <v>5348.06784</v>
          </cell>
          <cell r="M71" t="str">
            <v>Калининский</v>
          </cell>
        </row>
        <row r="72">
          <cell r="A72">
            <v>5</v>
          </cell>
          <cell r="B72" t="str">
            <v>Каток  самоходный гладкий 5 тн </v>
          </cell>
          <cell r="C72" t="str">
            <v>м/ч</v>
          </cell>
          <cell r="D72">
            <v>460.632</v>
          </cell>
          <cell r="E72">
            <v>1.81</v>
          </cell>
          <cell r="F72">
            <v>833.74392</v>
          </cell>
          <cell r="G72">
            <v>80.16</v>
          </cell>
          <cell r="H72">
            <v>36924.261119999996</v>
          </cell>
          <cell r="I72">
            <v>44.28729281767955</v>
          </cell>
          <cell r="J72">
            <v>36090.517199999995</v>
          </cell>
          <cell r="M72" t="str">
            <v>Калининский</v>
          </cell>
        </row>
        <row r="73">
          <cell r="A73">
            <v>6</v>
          </cell>
          <cell r="B73" t="str">
            <v>Каток вальцевый  10 тн </v>
          </cell>
          <cell r="C73" t="str">
            <v>м/ч</v>
          </cell>
          <cell r="D73">
            <v>705.408</v>
          </cell>
          <cell r="E73">
            <v>1.69</v>
          </cell>
          <cell r="F73">
            <v>680</v>
          </cell>
          <cell r="G73">
            <v>117.14</v>
          </cell>
          <cell r="H73">
            <v>82631.49312</v>
          </cell>
          <cell r="I73">
            <v>121.51690164705882</v>
          </cell>
          <cell r="J73">
            <v>81951.49312</v>
          </cell>
          <cell r="M73" t="str">
            <v>Калининский</v>
          </cell>
        </row>
        <row r="74">
          <cell r="A74">
            <v>7</v>
          </cell>
          <cell r="B74" t="str">
            <v>Укладчик а/бетона</v>
          </cell>
          <cell r="C74" t="str">
            <v>м/ч</v>
          </cell>
          <cell r="D74">
            <v>158.93999999999997</v>
          </cell>
          <cell r="E74">
            <v>2.29</v>
          </cell>
          <cell r="F74">
            <v>364</v>
          </cell>
          <cell r="G74">
            <v>148.81</v>
          </cell>
          <cell r="H74">
            <v>23651.861399999994</v>
          </cell>
          <cell r="I74">
            <v>64.9776412087912</v>
          </cell>
          <cell r="J74">
            <v>23287.861399999994</v>
          </cell>
          <cell r="M74" t="str">
            <v>Калининский</v>
          </cell>
        </row>
        <row r="75">
          <cell r="A75">
            <v>8</v>
          </cell>
          <cell r="B75" t="str">
            <v>Пневмокаток 18тн</v>
          </cell>
          <cell r="C75" t="str">
            <v>м/ч</v>
          </cell>
          <cell r="D75">
            <v>12.96</v>
          </cell>
          <cell r="E75">
            <v>4.88</v>
          </cell>
          <cell r="F75">
            <v>63.244800000000005</v>
          </cell>
          <cell r="G75">
            <v>94.73</v>
          </cell>
          <cell r="H75">
            <v>1227.7008</v>
          </cell>
          <cell r="I75">
            <v>19.41188524590164</v>
          </cell>
          <cell r="J75">
            <v>1164.4560000000001</v>
          </cell>
          <cell r="M75" t="str">
            <v>Калининский</v>
          </cell>
        </row>
        <row r="76">
          <cell r="A76">
            <v>9</v>
          </cell>
          <cell r="B76" t="str">
            <v>Автогудронатор 7000 л</v>
          </cell>
          <cell r="C76" t="str">
            <v>м/ч</v>
          </cell>
          <cell r="D76">
            <v>15.815999999999999</v>
          </cell>
          <cell r="E76">
            <v>7.22</v>
          </cell>
          <cell r="F76">
            <v>114.19151999999998</v>
          </cell>
          <cell r="G76">
            <v>141.41</v>
          </cell>
          <cell r="H76">
            <v>2236.54056</v>
          </cell>
          <cell r="I76">
            <v>19.585872576177287</v>
          </cell>
          <cell r="J76">
            <v>2122.34904</v>
          </cell>
          <cell r="M76" t="str">
            <v>Калининский</v>
          </cell>
        </row>
        <row r="77">
          <cell r="A77">
            <v>10</v>
          </cell>
          <cell r="B77" t="str">
            <v>Прочие машины</v>
          </cell>
          <cell r="C77" t="str">
            <v>руб</v>
          </cell>
          <cell r="D77">
            <v>187</v>
          </cell>
          <cell r="E77">
            <v>1</v>
          </cell>
          <cell r="F77">
            <v>187</v>
          </cell>
          <cell r="G77">
            <v>20</v>
          </cell>
          <cell r="H77">
            <v>3740</v>
          </cell>
          <cell r="I77">
            <v>20</v>
          </cell>
          <cell r="J77">
            <v>3553</v>
          </cell>
          <cell r="M77" t="str">
            <v>Калининский</v>
          </cell>
        </row>
        <row r="78">
          <cell r="M78" t="str">
            <v>Калининский</v>
          </cell>
        </row>
        <row r="79">
          <cell r="A79" t="str">
            <v>97-1.3.</v>
          </cell>
          <cell r="B79" t="str">
            <v>Материалы</v>
          </cell>
          <cell r="F79">
            <v>93960.54</v>
          </cell>
          <cell r="H79">
            <v>2958439.76</v>
          </cell>
          <cell r="I79">
            <v>31.485980817053626</v>
          </cell>
          <cell r="J79">
            <v>2864479.2199999997</v>
          </cell>
          <cell r="K79">
            <v>97</v>
          </cell>
          <cell r="L79" t="str">
            <v>1.3.</v>
          </cell>
          <cell r="M79" t="str">
            <v>Калининский</v>
          </cell>
        </row>
        <row r="80">
          <cell r="B80" t="str">
            <v>Материальные ресурсы по нормам СНиП</v>
          </cell>
          <cell r="F80">
            <v>67774.29999999999</v>
          </cell>
          <cell r="H80">
            <v>2480403.56</v>
          </cell>
          <cell r="I80">
            <v>36.59799599553224</v>
          </cell>
          <cell r="J80">
            <v>2412629.26</v>
          </cell>
          <cell r="M80" t="str">
            <v>Калининский</v>
          </cell>
        </row>
        <row r="81">
          <cell r="A81">
            <v>1</v>
          </cell>
          <cell r="B81" t="str">
            <v>ПГС</v>
          </cell>
          <cell r="C81" t="str">
            <v>м3</v>
          </cell>
          <cell r="D81">
            <v>1190</v>
          </cell>
          <cell r="E81">
            <v>1.9</v>
          </cell>
          <cell r="F81">
            <v>2261</v>
          </cell>
          <cell r="G81">
            <v>40.57</v>
          </cell>
          <cell r="H81">
            <v>48278.3</v>
          </cell>
          <cell r="I81">
            <v>21.35263157894737</v>
          </cell>
          <cell r="J81">
            <v>46017.3</v>
          </cell>
          <cell r="M81" t="str">
            <v>Калининский</v>
          </cell>
        </row>
        <row r="82">
          <cell r="A82">
            <v>2</v>
          </cell>
          <cell r="B82" t="str">
            <v>Битум вязкий </v>
          </cell>
          <cell r="C82" t="str">
            <v>т</v>
          </cell>
          <cell r="D82">
            <v>45</v>
          </cell>
          <cell r="E82">
            <v>65.88</v>
          </cell>
          <cell r="F82">
            <v>2964.6</v>
          </cell>
          <cell r="G82">
            <v>3528.4</v>
          </cell>
          <cell r="H82">
            <v>158778</v>
          </cell>
          <cell r="I82">
            <v>53.55798421372192</v>
          </cell>
          <cell r="J82">
            <v>155813.4</v>
          </cell>
          <cell r="M82" t="str">
            <v>Калининский</v>
          </cell>
        </row>
        <row r="83">
          <cell r="A83">
            <v>3</v>
          </cell>
          <cell r="B83" t="str">
            <v>Битум жидкий</v>
          </cell>
          <cell r="C83" t="str">
            <v>т</v>
          </cell>
          <cell r="D83">
            <v>22</v>
          </cell>
          <cell r="E83">
            <v>63.37</v>
          </cell>
          <cell r="F83">
            <v>1394.1399999999999</v>
          </cell>
          <cell r="G83">
            <v>3493.63</v>
          </cell>
          <cell r="H83">
            <v>76859.86</v>
          </cell>
          <cell r="I83">
            <v>55.1306611961496</v>
          </cell>
          <cell r="J83">
            <v>75465.72</v>
          </cell>
          <cell r="M83" t="str">
            <v>Калининский</v>
          </cell>
        </row>
        <row r="84">
          <cell r="A84">
            <v>4</v>
          </cell>
          <cell r="B84" t="str">
            <v>М/з а/ бетонная смесь</v>
          </cell>
          <cell r="C84" t="str">
            <v>т</v>
          </cell>
          <cell r="D84">
            <v>3034</v>
          </cell>
          <cell r="E84">
            <v>14.84</v>
          </cell>
          <cell r="F84">
            <v>45024.56</v>
          </cell>
          <cell r="G84">
            <v>569.5</v>
          </cell>
          <cell r="H84">
            <v>1727863</v>
          </cell>
          <cell r="I84">
            <v>38.37601078167116</v>
          </cell>
          <cell r="J84">
            <v>1682838.44</v>
          </cell>
          <cell r="M84" t="str">
            <v>Калининский</v>
          </cell>
        </row>
        <row r="85">
          <cell r="A85">
            <v>5</v>
          </cell>
          <cell r="B85" t="str">
            <v>черный щебень</v>
          </cell>
          <cell r="C85" t="str">
            <v>т</v>
          </cell>
          <cell r="D85">
            <v>1255</v>
          </cell>
          <cell r="E85">
            <v>12.8</v>
          </cell>
          <cell r="F85">
            <v>16064</v>
          </cell>
          <cell r="G85">
            <v>372.88</v>
          </cell>
          <cell r="H85">
            <v>467964.4</v>
          </cell>
          <cell r="I85">
            <v>29.13125</v>
          </cell>
          <cell r="J85">
            <v>451900.4</v>
          </cell>
          <cell r="M85" t="str">
            <v>Калининский</v>
          </cell>
        </row>
        <row r="86">
          <cell r="A86">
            <v>6</v>
          </cell>
          <cell r="B86" t="str">
            <v>Прочие материалы</v>
          </cell>
          <cell r="C86" t="str">
            <v>руб.</v>
          </cell>
          <cell r="D86">
            <v>66</v>
          </cell>
          <cell r="E86">
            <v>1</v>
          </cell>
          <cell r="F86">
            <v>66</v>
          </cell>
          <cell r="G86">
            <v>10</v>
          </cell>
          <cell r="H86">
            <v>660</v>
          </cell>
          <cell r="I86">
            <v>10</v>
          </cell>
          <cell r="J86">
            <v>594</v>
          </cell>
          <cell r="M86" t="str">
            <v>Калининский</v>
          </cell>
        </row>
        <row r="87">
          <cell r="A87">
            <v>7</v>
          </cell>
          <cell r="F87">
            <v>0</v>
          </cell>
          <cell r="H87">
            <v>0</v>
          </cell>
          <cell r="I87" t="e">
            <v>#DIV/0!</v>
          </cell>
          <cell r="J87">
            <v>0</v>
          </cell>
          <cell r="M87" t="str">
            <v>Калининский</v>
          </cell>
        </row>
        <row r="88">
          <cell r="A88">
            <v>8</v>
          </cell>
          <cell r="F88">
            <v>0</v>
          </cell>
          <cell r="H88">
            <v>0</v>
          </cell>
          <cell r="I88" t="e">
            <v>#DIV/0!</v>
          </cell>
          <cell r="J88">
            <v>0</v>
          </cell>
          <cell r="M88" t="str">
            <v>Калининский</v>
          </cell>
        </row>
        <row r="89">
          <cell r="A89">
            <v>9</v>
          </cell>
          <cell r="F89">
            <v>0</v>
          </cell>
          <cell r="H89">
            <v>0</v>
          </cell>
          <cell r="I89" t="e">
            <v>#DIV/0!</v>
          </cell>
          <cell r="J89">
            <v>0</v>
          </cell>
          <cell r="M89" t="str">
            <v>Калининский</v>
          </cell>
        </row>
        <row r="90">
          <cell r="A90">
            <v>10</v>
          </cell>
          <cell r="F90">
            <v>0</v>
          </cell>
          <cell r="H90">
            <v>0</v>
          </cell>
          <cell r="I90" t="e">
            <v>#DIV/0!</v>
          </cell>
          <cell r="J90">
            <v>0</v>
          </cell>
          <cell r="M90" t="str">
            <v>Калининский</v>
          </cell>
        </row>
        <row r="91">
          <cell r="M91" t="str">
            <v>Калининский</v>
          </cell>
        </row>
        <row r="92">
          <cell r="B92" t="str">
            <v>Транспортировка материалов, т (вид транспорта, км)</v>
          </cell>
          <cell r="F92">
            <v>26186.24</v>
          </cell>
          <cell r="H92">
            <v>478036.19999999995</v>
          </cell>
          <cell r="I92">
            <v>18.25524397546192</v>
          </cell>
          <cell r="J92">
            <v>451849.95999999996</v>
          </cell>
          <cell r="M92" t="str">
            <v>Калининский</v>
          </cell>
        </row>
        <row r="93">
          <cell r="A93">
            <v>1</v>
          </cell>
          <cell r="B93" t="str">
            <v>ПГС - 163 км</v>
          </cell>
          <cell r="C93" t="str">
            <v>т</v>
          </cell>
          <cell r="D93">
            <v>2142</v>
          </cell>
          <cell r="E93">
            <v>7.82</v>
          </cell>
          <cell r="F93">
            <v>16750.440000000002</v>
          </cell>
          <cell r="G93">
            <v>160.7</v>
          </cell>
          <cell r="H93">
            <v>344219.39999999997</v>
          </cell>
          <cell r="I93">
            <v>20.549872122762142</v>
          </cell>
          <cell r="J93">
            <v>327468.95999999996</v>
          </cell>
          <cell r="M93" t="str">
            <v>Калининский</v>
          </cell>
        </row>
        <row r="94">
          <cell r="A94">
            <v>2</v>
          </cell>
          <cell r="B94" t="str">
            <v>Битум вязкий -66 км</v>
          </cell>
          <cell r="C94" t="str">
            <v>т</v>
          </cell>
          <cell r="D94">
            <v>0</v>
          </cell>
          <cell r="F94">
            <v>0</v>
          </cell>
          <cell r="G94">
            <v>121.72800000000001</v>
          </cell>
          <cell r="H94">
            <v>0</v>
          </cell>
          <cell r="I94" t="e">
            <v>#DIV/0!</v>
          </cell>
          <cell r="J94">
            <v>0</v>
          </cell>
          <cell r="M94" t="str">
            <v>Калининский</v>
          </cell>
        </row>
        <row r="95">
          <cell r="A95">
            <v>3</v>
          </cell>
          <cell r="B95" t="str">
            <v>Битум жидкий-66 км</v>
          </cell>
          <cell r="C95" t="str">
            <v>т</v>
          </cell>
          <cell r="D95">
            <v>0</v>
          </cell>
          <cell r="F95">
            <v>0</v>
          </cell>
          <cell r="G95">
            <v>121.72800000000001</v>
          </cell>
          <cell r="H95">
            <v>0</v>
          </cell>
          <cell r="I95" t="e">
            <v>#DIV/0!</v>
          </cell>
          <cell r="J95">
            <v>0</v>
          </cell>
          <cell r="M95" t="str">
            <v>Калининский</v>
          </cell>
        </row>
        <row r="96">
          <cell r="A96">
            <v>4</v>
          </cell>
          <cell r="B96" t="str">
            <v>М/з а/ бетонная смесь -26 км</v>
          </cell>
          <cell r="C96" t="str">
            <v>т</v>
          </cell>
          <cell r="D96">
            <v>3034</v>
          </cell>
          <cell r="E96">
            <v>2.2</v>
          </cell>
          <cell r="F96">
            <v>6674.8</v>
          </cell>
          <cell r="G96">
            <v>31.2</v>
          </cell>
          <cell r="H96">
            <v>94660.8</v>
          </cell>
          <cell r="I96">
            <v>14.181818181818182</v>
          </cell>
          <cell r="J96">
            <v>87986</v>
          </cell>
          <cell r="M96" t="str">
            <v>Калининский</v>
          </cell>
        </row>
        <row r="97">
          <cell r="A97">
            <v>5</v>
          </cell>
          <cell r="B97" t="str">
            <v>Черный щебень-26 км</v>
          </cell>
          <cell r="C97" t="str">
            <v>т</v>
          </cell>
          <cell r="D97">
            <v>1255</v>
          </cell>
          <cell r="E97">
            <v>2.2</v>
          </cell>
          <cell r="F97">
            <v>2761</v>
          </cell>
          <cell r="G97">
            <v>31.2</v>
          </cell>
          <cell r="H97">
            <v>39156</v>
          </cell>
          <cell r="I97">
            <v>14.181818181818182</v>
          </cell>
          <cell r="J97">
            <v>36395</v>
          </cell>
          <cell r="M97" t="str">
            <v>Калининский</v>
          </cell>
        </row>
        <row r="98">
          <cell r="A98">
            <v>6</v>
          </cell>
          <cell r="C98" t="str">
            <v>т</v>
          </cell>
          <cell r="H98">
            <v>0</v>
          </cell>
          <cell r="I98" t="e">
            <v>#DIV/0!</v>
          </cell>
          <cell r="J98">
            <v>0</v>
          </cell>
          <cell r="M98" t="str">
            <v>Калининский</v>
          </cell>
        </row>
        <row r="99">
          <cell r="A99">
            <v>7</v>
          </cell>
          <cell r="C99" t="str">
            <v>т</v>
          </cell>
          <cell r="F99">
            <v>0</v>
          </cell>
          <cell r="H99">
            <v>0</v>
          </cell>
          <cell r="I99" t="e">
            <v>#DIV/0!</v>
          </cell>
          <cell r="J99">
            <v>0</v>
          </cell>
          <cell r="M99" t="str">
            <v>Калининский</v>
          </cell>
        </row>
        <row r="100">
          <cell r="A100">
            <v>8</v>
          </cell>
          <cell r="C100" t="str">
            <v>т</v>
          </cell>
          <cell r="F100">
            <v>0</v>
          </cell>
          <cell r="H100">
            <v>0</v>
          </cell>
          <cell r="I100" t="e">
            <v>#DIV/0!</v>
          </cell>
          <cell r="J100">
            <v>0</v>
          </cell>
          <cell r="M100" t="str">
            <v>Калининский</v>
          </cell>
        </row>
        <row r="101">
          <cell r="A101">
            <v>9</v>
          </cell>
          <cell r="C101" t="str">
            <v>т</v>
          </cell>
          <cell r="F101">
            <v>0</v>
          </cell>
          <cell r="H101">
            <v>0</v>
          </cell>
          <cell r="I101" t="e">
            <v>#DIV/0!</v>
          </cell>
          <cell r="J101">
            <v>0</v>
          </cell>
          <cell r="M101" t="str">
            <v>Калининский</v>
          </cell>
        </row>
        <row r="102">
          <cell r="A102">
            <v>10</v>
          </cell>
          <cell r="C102" t="str">
            <v>т</v>
          </cell>
          <cell r="F102">
            <v>0</v>
          </cell>
          <cell r="H102">
            <v>0</v>
          </cell>
          <cell r="I102" t="e">
            <v>#DIV/0!</v>
          </cell>
          <cell r="J102">
            <v>0</v>
          </cell>
          <cell r="M102" t="str">
            <v>Калининский</v>
          </cell>
        </row>
        <row r="103">
          <cell r="M103" t="str">
            <v>Калининский</v>
          </cell>
        </row>
        <row r="104">
          <cell r="B104" t="str">
            <v>Заготовительно-складские расходы</v>
          </cell>
          <cell r="F104">
            <v>0</v>
          </cell>
          <cell r="H104">
            <v>0</v>
          </cell>
          <cell r="I104" t="e">
            <v>#DIV/0!</v>
          </cell>
          <cell r="J104">
            <v>0</v>
          </cell>
          <cell r="M104" t="str">
            <v>Калининский</v>
          </cell>
        </row>
        <row r="105">
          <cell r="A105">
            <v>1</v>
          </cell>
          <cell r="B105" t="str">
            <v>ПГС</v>
          </cell>
          <cell r="C105" t="str">
            <v>руб</v>
          </cell>
          <cell r="E105">
            <v>19011.440000000002</v>
          </cell>
          <cell r="F105">
            <v>0</v>
          </cell>
          <cell r="H105">
            <v>0</v>
          </cell>
          <cell r="I105" t="e">
            <v>#DIV/0!</v>
          </cell>
          <cell r="J105">
            <v>0</v>
          </cell>
          <cell r="M105" t="str">
            <v>Калининский</v>
          </cell>
        </row>
        <row r="106">
          <cell r="A106">
            <v>2</v>
          </cell>
          <cell r="B106" t="str">
            <v>Битум вязкий </v>
          </cell>
          <cell r="C106" t="str">
            <v>руб</v>
          </cell>
          <cell r="E106">
            <v>2964.6</v>
          </cell>
          <cell r="F106">
            <v>0</v>
          </cell>
          <cell r="H106">
            <v>0</v>
          </cell>
          <cell r="I106" t="e">
            <v>#DIV/0!</v>
          </cell>
          <cell r="J106">
            <v>0</v>
          </cell>
          <cell r="M106" t="str">
            <v>Калининский</v>
          </cell>
        </row>
        <row r="107">
          <cell r="A107">
            <v>3</v>
          </cell>
          <cell r="B107" t="str">
            <v>Битум жидкий</v>
          </cell>
          <cell r="C107" t="str">
            <v>руб</v>
          </cell>
          <cell r="E107">
            <v>1394.1399999999999</v>
          </cell>
          <cell r="F107">
            <v>0</v>
          </cell>
          <cell r="H107">
            <v>0</v>
          </cell>
          <cell r="I107" t="e">
            <v>#DIV/0!</v>
          </cell>
          <cell r="J107">
            <v>0</v>
          </cell>
          <cell r="M107" t="str">
            <v>Калининский</v>
          </cell>
        </row>
        <row r="108">
          <cell r="A108">
            <v>4</v>
          </cell>
          <cell r="B108" t="str">
            <v>М/з а/ бетонная смесь</v>
          </cell>
          <cell r="C108" t="str">
            <v>руб</v>
          </cell>
          <cell r="E108">
            <v>51699.36</v>
          </cell>
          <cell r="F108">
            <v>0</v>
          </cell>
          <cell r="H108">
            <v>0</v>
          </cell>
          <cell r="I108" t="e">
            <v>#DIV/0!</v>
          </cell>
          <cell r="J108">
            <v>0</v>
          </cell>
          <cell r="M108" t="str">
            <v>Калининский</v>
          </cell>
        </row>
        <row r="109">
          <cell r="A109">
            <v>5</v>
          </cell>
          <cell r="B109" t="str">
            <v>черный щебень</v>
          </cell>
          <cell r="C109" t="str">
            <v>руб</v>
          </cell>
          <cell r="E109">
            <v>18825</v>
          </cell>
          <cell r="F109">
            <v>0</v>
          </cell>
          <cell r="H109">
            <v>0</v>
          </cell>
          <cell r="I109" t="e">
            <v>#DIV/0!</v>
          </cell>
          <cell r="J109">
            <v>0</v>
          </cell>
          <cell r="M109" t="str">
            <v>Калининский</v>
          </cell>
        </row>
        <row r="110">
          <cell r="A110">
            <v>6</v>
          </cell>
          <cell r="B110" t="str">
            <v>Прочие материалы</v>
          </cell>
          <cell r="C110" t="str">
            <v>руб</v>
          </cell>
          <cell r="E110">
            <v>66</v>
          </cell>
          <cell r="F110">
            <v>0</v>
          </cell>
          <cell r="H110">
            <v>0</v>
          </cell>
          <cell r="I110" t="e">
            <v>#DIV/0!</v>
          </cell>
          <cell r="J110">
            <v>0</v>
          </cell>
          <cell r="M110" t="str">
            <v>Калининский</v>
          </cell>
        </row>
        <row r="111">
          <cell r="A111">
            <v>7</v>
          </cell>
          <cell r="B111">
            <v>0</v>
          </cell>
          <cell r="C111" t="str">
            <v>руб</v>
          </cell>
          <cell r="E111">
            <v>0</v>
          </cell>
          <cell r="F111">
            <v>0</v>
          </cell>
          <cell r="H111">
            <v>0</v>
          </cell>
          <cell r="I111" t="e">
            <v>#DIV/0!</v>
          </cell>
          <cell r="J111">
            <v>0</v>
          </cell>
          <cell r="M111" t="str">
            <v>Калининский</v>
          </cell>
        </row>
        <row r="112">
          <cell r="A112">
            <v>8</v>
          </cell>
          <cell r="B112">
            <v>0</v>
          </cell>
          <cell r="C112" t="str">
            <v>руб</v>
          </cell>
          <cell r="E112">
            <v>0</v>
          </cell>
          <cell r="F112">
            <v>0</v>
          </cell>
          <cell r="H112">
            <v>0</v>
          </cell>
          <cell r="I112" t="e">
            <v>#DIV/0!</v>
          </cell>
          <cell r="J112">
            <v>0</v>
          </cell>
          <cell r="M112" t="str">
            <v>Калининский</v>
          </cell>
        </row>
        <row r="113">
          <cell r="A113">
            <v>9</v>
          </cell>
          <cell r="B113">
            <v>0</v>
          </cell>
          <cell r="C113" t="str">
            <v>руб</v>
          </cell>
          <cell r="E113">
            <v>0</v>
          </cell>
          <cell r="F113">
            <v>0</v>
          </cell>
          <cell r="H113">
            <v>0</v>
          </cell>
          <cell r="I113" t="e">
            <v>#DIV/0!</v>
          </cell>
          <cell r="J113">
            <v>0</v>
          </cell>
          <cell r="M113" t="str">
            <v>Калининский</v>
          </cell>
        </row>
        <row r="114">
          <cell r="A114">
            <v>10</v>
          </cell>
          <cell r="B114">
            <v>0</v>
          </cell>
          <cell r="C114" t="str">
            <v>руб</v>
          </cell>
          <cell r="E114">
            <v>0</v>
          </cell>
          <cell r="F114">
            <v>0</v>
          </cell>
          <cell r="H114">
            <v>0</v>
          </cell>
          <cell r="I114" t="e">
            <v>#DIV/0!</v>
          </cell>
          <cell r="J114">
            <v>0</v>
          </cell>
          <cell r="M114" t="str">
            <v>Калининский</v>
          </cell>
        </row>
        <row r="115">
          <cell r="M115" t="str">
            <v>Калининский</v>
          </cell>
        </row>
        <row r="116">
          <cell r="M116" t="str">
            <v>Калининский</v>
          </cell>
        </row>
        <row r="117">
          <cell r="B117" t="str">
            <v>Составил:______________________________</v>
          </cell>
          <cell r="M117" t="str">
            <v>Калининский</v>
          </cell>
        </row>
        <row r="118">
          <cell r="M118" t="str">
            <v>Калининский</v>
          </cell>
        </row>
        <row r="119">
          <cell r="B119" t="str">
            <v>Начальник ТДО: ________________________</v>
          </cell>
        </row>
        <row r="120">
          <cell r="B120" t="str">
            <v>Район: Калининский \  Нововеличковская-Долиновское ;  км: 10+170-12+560 \ Поверхностная обработка (II вариант)</v>
          </cell>
          <cell r="K120">
            <v>98</v>
          </cell>
          <cell r="M120" t="str">
            <v>Калининский</v>
          </cell>
        </row>
        <row r="121">
          <cell r="A121" t="str">
            <v>98-1.1.</v>
          </cell>
          <cell r="B121" t="str">
            <v>Фонд заработной платы</v>
          </cell>
          <cell r="D121">
            <v>1098</v>
          </cell>
          <cell r="F121">
            <v>669</v>
          </cell>
          <cell r="H121">
            <v>14314.61</v>
          </cell>
          <cell r="I121">
            <v>21.397025411061286</v>
          </cell>
          <cell r="J121">
            <v>13645.61</v>
          </cell>
          <cell r="K121">
            <v>98</v>
          </cell>
          <cell r="L121" t="str">
            <v>1.1.</v>
          </cell>
          <cell r="M121" t="str">
            <v>Калининский</v>
          </cell>
        </row>
        <row r="122">
          <cell r="A122" t="str">
            <v>98-1.1.1.</v>
          </cell>
          <cell r="B122" t="str">
            <v>Основные рабочие</v>
          </cell>
          <cell r="C122" t="str">
            <v>ч/ч</v>
          </cell>
          <cell r="D122">
            <v>695</v>
          </cell>
          <cell r="E122">
            <v>0.5553956834532374</v>
          </cell>
          <cell r="F122">
            <v>386</v>
          </cell>
          <cell r="G122">
            <v>12.38</v>
          </cell>
          <cell r="H122">
            <v>8604.1</v>
          </cell>
          <cell r="I122">
            <v>22.29041450777202</v>
          </cell>
          <cell r="J122">
            <v>8218.1</v>
          </cell>
          <cell r="K122">
            <v>98</v>
          </cell>
          <cell r="L122" t="str">
            <v>1.1.1.</v>
          </cell>
          <cell r="M122" t="str">
            <v>Калининский</v>
          </cell>
        </row>
        <row r="123">
          <cell r="A123" t="str">
            <v>98-1.1.2.</v>
          </cell>
          <cell r="B123" t="str">
            <v>Машинисты</v>
          </cell>
          <cell r="C123" t="str">
            <v>ч/ч</v>
          </cell>
          <cell r="D123">
            <v>403</v>
          </cell>
          <cell r="E123">
            <v>0.702</v>
          </cell>
          <cell r="F123">
            <v>283</v>
          </cell>
          <cell r="G123">
            <v>14.17</v>
          </cell>
          <cell r="H123">
            <v>5710.51</v>
          </cell>
          <cell r="I123">
            <v>20.178480565371025</v>
          </cell>
          <cell r="J123">
            <v>5427.51</v>
          </cell>
          <cell r="K123">
            <v>98</v>
          </cell>
          <cell r="L123" t="str">
            <v>1.1.2.</v>
          </cell>
          <cell r="M123" t="str">
            <v>Калининский</v>
          </cell>
        </row>
        <row r="124">
          <cell r="M124" t="str">
            <v>Калининский</v>
          </cell>
        </row>
        <row r="125">
          <cell r="A125" t="str">
            <v>98-1.2.</v>
          </cell>
          <cell r="B125" t="str">
            <v>Технические ресурсы по нормам СНиП (без зарботной платы машиниста)</v>
          </cell>
          <cell r="F125">
            <v>681</v>
          </cell>
          <cell r="H125">
            <v>32591.996979999996</v>
          </cell>
          <cell r="I125">
            <v>47.85902640234948</v>
          </cell>
          <cell r="J125">
            <v>31910.891900000002</v>
          </cell>
          <cell r="K125">
            <v>98</v>
          </cell>
          <cell r="L125" t="str">
            <v>1.2.</v>
          </cell>
          <cell r="M125" t="str">
            <v>Калининский</v>
          </cell>
        </row>
        <row r="126">
          <cell r="A126">
            <v>1</v>
          </cell>
          <cell r="B126" t="str">
            <v>Автогрейдер средний</v>
          </cell>
          <cell r="C126" t="str">
            <v>м/ч</v>
          </cell>
          <cell r="D126">
            <v>16.85</v>
          </cell>
          <cell r="E126">
            <v>2.48</v>
          </cell>
          <cell r="F126">
            <v>41.788000000000004</v>
          </cell>
          <cell r="G126">
            <v>125.03</v>
          </cell>
          <cell r="H126">
            <v>2106.7555</v>
          </cell>
          <cell r="I126">
            <v>50.41532258064516</v>
          </cell>
          <cell r="J126">
            <v>2064.9675</v>
          </cell>
          <cell r="M126" t="str">
            <v>Калининский</v>
          </cell>
        </row>
        <row r="127">
          <cell r="A127">
            <v>2</v>
          </cell>
          <cell r="B127" t="str">
            <v>Щебнераспределитель</v>
          </cell>
          <cell r="C127" t="str">
            <v>м/ч</v>
          </cell>
          <cell r="D127">
            <v>12.6</v>
          </cell>
          <cell r="E127">
            <v>4.21</v>
          </cell>
          <cell r="F127">
            <v>53.046</v>
          </cell>
          <cell r="G127">
            <v>86.93</v>
          </cell>
          <cell r="H127">
            <v>1095.318</v>
          </cell>
          <cell r="I127">
            <v>20.648456057007127</v>
          </cell>
          <cell r="J127">
            <v>1042.272</v>
          </cell>
          <cell r="M127" t="str">
            <v>Калининский</v>
          </cell>
        </row>
        <row r="128">
          <cell r="A128">
            <v>3</v>
          </cell>
          <cell r="B128" t="str">
            <v>Автогудронатор 3500л</v>
          </cell>
          <cell r="C128" t="str">
            <v>м/ч</v>
          </cell>
          <cell r="D128">
            <v>7.308</v>
          </cell>
          <cell r="E128">
            <v>5.99</v>
          </cell>
          <cell r="F128">
            <v>43.77492</v>
          </cell>
          <cell r="G128">
            <v>77.02</v>
          </cell>
          <cell r="H128">
            <v>562.8621599999999</v>
          </cell>
          <cell r="I128">
            <v>12.858096828046742</v>
          </cell>
          <cell r="J128">
            <v>519.08724</v>
          </cell>
          <cell r="M128" t="str">
            <v>Калининский</v>
          </cell>
        </row>
        <row r="129">
          <cell r="A129">
            <v>4</v>
          </cell>
          <cell r="B129" t="str">
            <v>Машина поливомоечная</v>
          </cell>
          <cell r="C129" t="str">
            <v>м/ч</v>
          </cell>
          <cell r="D129">
            <v>5.592</v>
          </cell>
          <cell r="E129">
            <v>6.16</v>
          </cell>
          <cell r="F129">
            <v>34.44672</v>
          </cell>
          <cell r="G129">
            <v>197.6</v>
          </cell>
          <cell r="H129">
            <v>1104.9792</v>
          </cell>
          <cell r="I129">
            <v>32.077922077922075</v>
          </cell>
          <cell r="J129">
            <v>1070.53248</v>
          </cell>
          <cell r="M129" t="str">
            <v>Калининский</v>
          </cell>
        </row>
        <row r="130">
          <cell r="A130">
            <v>5</v>
          </cell>
          <cell r="B130" t="str">
            <v>Каток  самоходный гладкий 5 тн </v>
          </cell>
          <cell r="C130" t="str">
            <v>м/ч</v>
          </cell>
          <cell r="D130">
            <v>96.15599999999999</v>
          </cell>
          <cell r="E130">
            <v>1.81</v>
          </cell>
          <cell r="F130">
            <v>174.04236</v>
          </cell>
          <cell r="G130">
            <v>80.16</v>
          </cell>
          <cell r="H130">
            <v>7707.864959999999</v>
          </cell>
          <cell r="I130">
            <v>44.28729281767955</v>
          </cell>
          <cell r="J130">
            <v>7533.822599999999</v>
          </cell>
          <cell r="M130" t="str">
            <v>Калининский</v>
          </cell>
        </row>
        <row r="131">
          <cell r="A131">
            <v>6</v>
          </cell>
          <cell r="B131" t="str">
            <v>Каток вальцевый  10 тн </v>
          </cell>
          <cell r="C131" t="str">
            <v>м/ч</v>
          </cell>
          <cell r="D131">
            <v>126.96</v>
          </cell>
          <cell r="E131">
            <v>1.69</v>
          </cell>
          <cell r="F131">
            <v>214</v>
          </cell>
          <cell r="G131">
            <v>117.14</v>
          </cell>
          <cell r="H131">
            <v>14872.0944</v>
          </cell>
          <cell r="I131">
            <v>69.49576822429907</v>
          </cell>
          <cell r="J131">
            <v>14658.0944</v>
          </cell>
          <cell r="M131" t="str">
            <v>Калининский</v>
          </cell>
        </row>
        <row r="132">
          <cell r="A132">
            <v>7</v>
          </cell>
          <cell r="B132" t="str">
            <v>Укладчик а/бетона</v>
          </cell>
          <cell r="C132" t="str">
            <v>м/ч</v>
          </cell>
          <cell r="D132">
            <v>26.795999999999996</v>
          </cell>
          <cell r="E132">
            <v>2.29</v>
          </cell>
          <cell r="F132">
            <v>61.36283999999999</v>
          </cell>
          <cell r="G132">
            <v>148.81</v>
          </cell>
          <cell r="H132">
            <v>3987.5127599999996</v>
          </cell>
          <cell r="I132">
            <v>64.98253275109171</v>
          </cell>
          <cell r="J132">
            <v>3926.14992</v>
          </cell>
          <cell r="M132" t="str">
            <v>Калининский</v>
          </cell>
        </row>
        <row r="133">
          <cell r="A133">
            <v>8</v>
          </cell>
          <cell r="B133" t="str">
            <v>Пневмокаток 18тн</v>
          </cell>
          <cell r="C133" t="str">
            <v>м/ч</v>
          </cell>
          <cell r="D133">
            <v>2.592</v>
          </cell>
          <cell r="E133">
            <v>4.88</v>
          </cell>
          <cell r="F133">
            <v>12.64896</v>
          </cell>
          <cell r="G133">
            <v>94.73</v>
          </cell>
          <cell r="H133">
            <v>245.54016000000001</v>
          </cell>
          <cell r="I133">
            <v>19.41188524590164</v>
          </cell>
          <cell r="J133">
            <v>232.89120000000003</v>
          </cell>
          <cell r="M133" t="str">
            <v>Калининский</v>
          </cell>
        </row>
        <row r="134">
          <cell r="A134">
            <v>9</v>
          </cell>
          <cell r="B134" t="str">
            <v>Автогудронатор 7000 л</v>
          </cell>
          <cell r="C134" t="str">
            <v>м/ч</v>
          </cell>
          <cell r="D134">
            <v>3.6239999999999997</v>
          </cell>
          <cell r="E134">
            <v>7.22</v>
          </cell>
          <cell r="F134">
            <v>26.165279999999996</v>
          </cell>
          <cell r="G134">
            <v>141.41</v>
          </cell>
          <cell r="H134">
            <v>512.46984</v>
          </cell>
          <cell r="I134">
            <v>19.585872576177287</v>
          </cell>
          <cell r="J134">
            <v>486.30456</v>
          </cell>
          <cell r="M134" t="str">
            <v>Калининский</v>
          </cell>
        </row>
        <row r="135">
          <cell r="A135">
            <v>10</v>
          </cell>
          <cell r="B135" t="str">
            <v>Прочие машины</v>
          </cell>
          <cell r="C135" t="str">
            <v>руб</v>
          </cell>
          <cell r="D135">
            <v>19.83</v>
          </cell>
          <cell r="E135">
            <v>1</v>
          </cell>
          <cell r="F135">
            <v>19.83</v>
          </cell>
          <cell r="G135">
            <v>20</v>
          </cell>
          <cell r="H135">
            <v>396.59999999999997</v>
          </cell>
          <cell r="I135">
            <v>20</v>
          </cell>
          <cell r="J135">
            <v>376.77</v>
          </cell>
          <cell r="M135" t="str">
            <v>Калининский</v>
          </cell>
        </row>
        <row r="136">
          <cell r="M136" t="str">
            <v>Калининский</v>
          </cell>
        </row>
        <row r="137">
          <cell r="A137" t="str">
            <v>98-1.3.</v>
          </cell>
          <cell r="B137" t="str">
            <v>Материалы</v>
          </cell>
          <cell r="F137">
            <v>22577.9081</v>
          </cell>
          <cell r="H137">
            <v>696488.9405</v>
          </cell>
          <cell r="I137">
            <v>30.848249422186285</v>
          </cell>
          <cell r="J137">
            <v>673911.0324</v>
          </cell>
          <cell r="K137">
            <v>98</v>
          </cell>
          <cell r="L137" t="str">
            <v>1.3.</v>
          </cell>
          <cell r="M137" t="str">
            <v>Калининский</v>
          </cell>
        </row>
        <row r="138">
          <cell r="B138" t="str">
            <v>Материальные ресурсы по нормам СНиП</v>
          </cell>
          <cell r="F138">
            <v>15657.7347</v>
          </cell>
          <cell r="H138">
            <v>570359.9005</v>
          </cell>
          <cell r="I138">
            <v>36.426718898232444</v>
          </cell>
          <cell r="J138">
            <v>554702.1658</v>
          </cell>
          <cell r="M138" t="str">
            <v>Калининский</v>
          </cell>
        </row>
        <row r="139">
          <cell r="A139">
            <v>1</v>
          </cell>
          <cell r="B139" t="str">
            <v>ПГС</v>
          </cell>
          <cell r="C139" t="str">
            <v>м3</v>
          </cell>
          <cell r="D139">
            <v>357</v>
          </cell>
          <cell r="E139">
            <v>1.9</v>
          </cell>
          <cell r="F139">
            <v>678.3</v>
          </cell>
          <cell r="G139">
            <v>40.57</v>
          </cell>
          <cell r="H139">
            <v>14483.49</v>
          </cell>
          <cell r="I139">
            <v>21.35263157894737</v>
          </cell>
          <cell r="J139">
            <v>13805.19</v>
          </cell>
          <cell r="M139" t="str">
            <v>Калининский</v>
          </cell>
        </row>
        <row r="140">
          <cell r="A140">
            <v>2</v>
          </cell>
          <cell r="B140" t="str">
            <v>Битум вязкий </v>
          </cell>
          <cell r="C140" t="str">
            <v>т</v>
          </cell>
          <cell r="D140">
            <v>10.34</v>
          </cell>
          <cell r="E140">
            <v>65.88</v>
          </cell>
          <cell r="F140">
            <v>681.1991999999999</v>
          </cell>
          <cell r="G140">
            <v>3528.4</v>
          </cell>
          <cell r="H140">
            <v>36483.656</v>
          </cell>
          <cell r="I140">
            <v>53.55798421372193</v>
          </cell>
          <cell r="J140">
            <v>35802.4568</v>
          </cell>
          <cell r="M140" t="str">
            <v>Калининский</v>
          </cell>
        </row>
        <row r="141">
          <cell r="A141">
            <v>3</v>
          </cell>
          <cell r="B141" t="str">
            <v>Битум жидкий</v>
          </cell>
          <cell r="C141" t="str">
            <v>т</v>
          </cell>
          <cell r="D141">
            <v>5.15</v>
          </cell>
          <cell r="E141">
            <v>63.37</v>
          </cell>
          <cell r="F141">
            <v>326.3555</v>
          </cell>
          <cell r="G141">
            <v>3493.63</v>
          </cell>
          <cell r="H141">
            <v>17992.1945</v>
          </cell>
          <cell r="I141">
            <v>55.1306611961496</v>
          </cell>
          <cell r="J141">
            <v>17665.839</v>
          </cell>
          <cell r="M141" t="str">
            <v>Калининский</v>
          </cell>
        </row>
        <row r="142">
          <cell r="A142">
            <v>4</v>
          </cell>
          <cell r="B142" t="str">
            <v>М/з а/ бетонная смесь</v>
          </cell>
          <cell r="C142" t="str">
            <v>т</v>
          </cell>
          <cell r="D142">
            <v>692</v>
          </cell>
          <cell r="E142">
            <v>14.84</v>
          </cell>
          <cell r="F142">
            <v>10269.28</v>
          </cell>
          <cell r="G142">
            <v>569.5</v>
          </cell>
          <cell r="H142">
            <v>394094</v>
          </cell>
          <cell r="I142">
            <v>38.376010781671155</v>
          </cell>
          <cell r="J142">
            <v>383824.72</v>
          </cell>
          <cell r="M142" t="str">
            <v>Калининский</v>
          </cell>
        </row>
        <row r="143">
          <cell r="A143">
            <v>5</v>
          </cell>
          <cell r="B143" t="str">
            <v>черный щебень</v>
          </cell>
          <cell r="C143" t="str">
            <v>т</v>
          </cell>
          <cell r="D143">
            <v>287</v>
          </cell>
          <cell r="E143">
            <v>12.8</v>
          </cell>
          <cell r="F143">
            <v>3673.6000000000004</v>
          </cell>
          <cell r="G143">
            <v>372.88</v>
          </cell>
          <cell r="H143">
            <v>107016.56</v>
          </cell>
          <cell r="I143">
            <v>29.131249999999998</v>
          </cell>
          <cell r="J143">
            <v>103342.95999999999</v>
          </cell>
          <cell r="M143" t="str">
            <v>Калининский</v>
          </cell>
        </row>
        <row r="144">
          <cell r="A144">
            <v>6</v>
          </cell>
          <cell r="B144" t="str">
            <v>Прочие материалы</v>
          </cell>
          <cell r="C144" t="str">
            <v>руб.</v>
          </cell>
          <cell r="D144">
            <v>29</v>
          </cell>
          <cell r="E144">
            <v>1</v>
          </cell>
          <cell r="F144">
            <v>29</v>
          </cell>
          <cell r="G144">
            <v>10</v>
          </cell>
          <cell r="H144">
            <v>290</v>
          </cell>
          <cell r="I144">
            <v>10</v>
          </cell>
          <cell r="J144">
            <v>261</v>
          </cell>
          <cell r="M144" t="str">
            <v>Калининский</v>
          </cell>
        </row>
        <row r="145">
          <cell r="A145">
            <v>7</v>
          </cell>
          <cell r="F145">
            <v>0</v>
          </cell>
          <cell r="H145">
            <v>0</v>
          </cell>
          <cell r="I145" t="e">
            <v>#DIV/0!</v>
          </cell>
          <cell r="J145">
            <v>0</v>
          </cell>
          <cell r="M145" t="str">
            <v>Калининский</v>
          </cell>
        </row>
        <row r="146">
          <cell r="A146">
            <v>8</v>
          </cell>
          <cell r="F146">
            <v>0</v>
          </cell>
          <cell r="H146">
            <v>0</v>
          </cell>
          <cell r="I146" t="e">
            <v>#DIV/0!</v>
          </cell>
          <cell r="J146">
            <v>0</v>
          </cell>
          <cell r="M146" t="str">
            <v>Калининский</v>
          </cell>
        </row>
        <row r="147">
          <cell r="A147">
            <v>9</v>
          </cell>
          <cell r="F147">
            <v>0</v>
          </cell>
          <cell r="H147">
            <v>0</v>
          </cell>
          <cell r="I147" t="e">
            <v>#DIV/0!</v>
          </cell>
          <cell r="J147">
            <v>0</v>
          </cell>
          <cell r="M147" t="str">
            <v>Калининский</v>
          </cell>
        </row>
        <row r="148">
          <cell r="A148">
            <v>10</v>
          </cell>
          <cell r="F148">
            <v>0</v>
          </cell>
          <cell r="H148">
            <v>0</v>
          </cell>
          <cell r="I148" t="e">
            <v>#DIV/0!</v>
          </cell>
          <cell r="J148">
            <v>0</v>
          </cell>
          <cell r="M148" t="str">
            <v>Калининский</v>
          </cell>
        </row>
        <row r="149">
          <cell r="M149" t="str">
            <v>Калининский</v>
          </cell>
        </row>
        <row r="150">
          <cell r="B150" t="str">
            <v>Транспортировка материалов, т (вид транспорта, км)</v>
          </cell>
          <cell r="F150">
            <v>6809</v>
          </cell>
          <cell r="H150">
            <v>126129.04</v>
          </cell>
          <cell r="I150">
            <v>18.52387134674695</v>
          </cell>
          <cell r="J150">
            <v>119320.04</v>
          </cell>
          <cell r="M150" t="str">
            <v>Калининский</v>
          </cell>
        </row>
        <row r="151">
          <cell r="A151">
            <v>1</v>
          </cell>
          <cell r="B151" t="str">
            <v>ПГС - 159 км</v>
          </cell>
          <cell r="C151" t="str">
            <v>т</v>
          </cell>
          <cell r="D151">
            <v>643</v>
          </cell>
          <cell r="E151">
            <v>7.59</v>
          </cell>
          <cell r="F151">
            <v>4880.37</v>
          </cell>
          <cell r="G151">
            <v>155.84</v>
          </cell>
          <cell r="H151">
            <v>100205.12</v>
          </cell>
          <cell r="I151">
            <v>20.53227931488801</v>
          </cell>
          <cell r="J151">
            <v>95324.75</v>
          </cell>
          <cell r="M151" t="str">
            <v>Калининский</v>
          </cell>
        </row>
        <row r="152">
          <cell r="A152">
            <v>2</v>
          </cell>
          <cell r="B152" t="str">
            <v>Битум вязкий -62 км</v>
          </cell>
          <cell r="C152" t="str">
            <v>т</v>
          </cell>
          <cell r="F152">
            <v>0</v>
          </cell>
          <cell r="G152">
            <v>114.432</v>
          </cell>
          <cell r="H152">
            <v>0</v>
          </cell>
          <cell r="I152" t="e">
            <v>#DIV/0!</v>
          </cell>
          <cell r="J152">
            <v>0</v>
          </cell>
          <cell r="M152" t="str">
            <v>Калининский</v>
          </cell>
        </row>
        <row r="153">
          <cell r="A153">
            <v>3</v>
          </cell>
          <cell r="B153" t="str">
            <v>Битум жидкий-62 км</v>
          </cell>
          <cell r="C153" t="str">
            <v>т</v>
          </cell>
          <cell r="F153">
            <v>0</v>
          </cell>
          <cell r="G153">
            <v>114.432</v>
          </cell>
          <cell r="H153">
            <v>0</v>
          </cell>
          <cell r="I153" t="e">
            <v>#DIV/0!</v>
          </cell>
          <cell r="J153">
            <v>0</v>
          </cell>
          <cell r="M153" t="str">
            <v>Калининский</v>
          </cell>
        </row>
        <row r="154">
          <cell r="A154">
            <v>4</v>
          </cell>
          <cell r="B154" t="str">
            <v>М/з а/ бетонная смесь -22 км</v>
          </cell>
          <cell r="C154" t="str">
            <v>т</v>
          </cell>
          <cell r="D154">
            <v>692</v>
          </cell>
          <cell r="E154">
            <v>1.97</v>
          </cell>
          <cell r="F154">
            <v>1363.24</v>
          </cell>
          <cell r="G154">
            <v>26.48</v>
          </cell>
          <cell r="H154">
            <v>18324.16</v>
          </cell>
          <cell r="I154">
            <v>13.441624365482234</v>
          </cell>
          <cell r="J154">
            <v>16960.92</v>
          </cell>
          <cell r="M154" t="str">
            <v>Калининский</v>
          </cell>
        </row>
        <row r="155">
          <cell r="A155">
            <v>5</v>
          </cell>
          <cell r="B155" t="str">
            <v>Черный щебень-22 км</v>
          </cell>
          <cell r="C155" t="str">
            <v>т</v>
          </cell>
          <cell r="D155">
            <v>287</v>
          </cell>
          <cell r="E155">
            <v>1.97</v>
          </cell>
          <cell r="F155">
            <v>565.39</v>
          </cell>
          <cell r="G155">
            <v>26.48</v>
          </cell>
          <cell r="H155">
            <v>7599.76</v>
          </cell>
          <cell r="I155">
            <v>13.441624365482234</v>
          </cell>
          <cell r="J155">
            <v>7034.37</v>
          </cell>
          <cell r="M155" t="str">
            <v>Калининский</v>
          </cell>
        </row>
        <row r="156">
          <cell r="A156">
            <v>6</v>
          </cell>
          <cell r="C156" t="str">
            <v>т</v>
          </cell>
          <cell r="H156">
            <v>0</v>
          </cell>
          <cell r="I156" t="e">
            <v>#DIV/0!</v>
          </cell>
          <cell r="J156">
            <v>0</v>
          </cell>
          <cell r="M156" t="str">
            <v>Калининский</v>
          </cell>
        </row>
        <row r="157">
          <cell r="A157">
            <v>7</v>
          </cell>
          <cell r="C157" t="str">
            <v>т</v>
          </cell>
          <cell r="F157">
            <v>0</v>
          </cell>
          <cell r="H157">
            <v>0</v>
          </cell>
          <cell r="I157" t="e">
            <v>#DIV/0!</v>
          </cell>
          <cell r="J157">
            <v>0</v>
          </cell>
          <cell r="M157" t="str">
            <v>Калининский</v>
          </cell>
        </row>
        <row r="158">
          <cell r="A158">
            <v>8</v>
          </cell>
          <cell r="C158" t="str">
            <v>т</v>
          </cell>
          <cell r="F158">
            <v>0</v>
          </cell>
          <cell r="H158">
            <v>0</v>
          </cell>
          <cell r="I158" t="e">
            <v>#DIV/0!</v>
          </cell>
          <cell r="J158">
            <v>0</v>
          </cell>
          <cell r="M158" t="str">
            <v>Калининский</v>
          </cell>
        </row>
        <row r="159">
          <cell r="A159">
            <v>9</v>
          </cell>
          <cell r="C159" t="str">
            <v>т</v>
          </cell>
          <cell r="F159">
            <v>0</v>
          </cell>
          <cell r="H159">
            <v>0</v>
          </cell>
          <cell r="I159" t="e">
            <v>#DIV/0!</v>
          </cell>
          <cell r="J159">
            <v>0</v>
          </cell>
          <cell r="M159" t="str">
            <v>Калининский</v>
          </cell>
        </row>
        <row r="160">
          <cell r="A160">
            <v>10</v>
          </cell>
          <cell r="C160" t="str">
            <v>т</v>
          </cell>
          <cell r="F160">
            <v>0</v>
          </cell>
          <cell r="H160">
            <v>0</v>
          </cell>
          <cell r="I160" t="e">
            <v>#DIV/0!</v>
          </cell>
          <cell r="J160">
            <v>0</v>
          </cell>
          <cell r="M160" t="str">
            <v>Калининский</v>
          </cell>
        </row>
        <row r="161">
          <cell r="M161" t="str">
            <v>Калининский</v>
          </cell>
        </row>
        <row r="162">
          <cell r="B162" t="str">
            <v>Заготовительно-складские расходы</v>
          </cell>
          <cell r="F162">
            <v>111.1734</v>
          </cell>
          <cell r="H162">
            <v>0</v>
          </cell>
          <cell r="I162">
            <v>0</v>
          </cell>
          <cell r="J162">
            <v>-111.1734</v>
          </cell>
          <cell r="M162" t="str">
            <v>Калининский</v>
          </cell>
        </row>
        <row r="163">
          <cell r="A163">
            <v>1</v>
          </cell>
          <cell r="B163" t="str">
            <v>ПГС</v>
          </cell>
          <cell r="C163" t="str">
            <v>руб</v>
          </cell>
          <cell r="D163">
            <v>0.02</v>
          </cell>
          <cell r="E163">
            <v>5558.67</v>
          </cell>
          <cell r="F163">
            <v>111.1734</v>
          </cell>
          <cell r="H163">
            <v>0</v>
          </cell>
          <cell r="I163">
            <v>0</v>
          </cell>
          <cell r="J163">
            <v>-111.1734</v>
          </cell>
          <cell r="M163" t="str">
            <v>Калининский</v>
          </cell>
        </row>
        <row r="164">
          <cell r="A164">
            <v>2</v>
          </cell>
          <cell r="B164" t="str">
            <v>Битум вязкий </v>
          </cell>
          <cell r="C164" t="str">
            <v>руб</v>
          </cell>
          <cell r="E164">
            <v>681.1991999999999</v>
          </cell>
          <cell r="F164">
            <v>0</v>
          </cell>
          <cell r="H164">
            <v>0</v>
          </cell>
          <cell r="I164" t="e">
            <v>#DIV/0!</v>
          </cell>
          <cell r="J164">
            <v>0</v>
          </cell>
          <cell r="M164" t="str">
            <v>Калининский</v>
          </cell>
        </row>
        <row r="165">
          <cell r="A165">
            <v>3</v>
          </cell>
          <cell r="B165" t="str">
            <v>Битум жидкий</v>
          </cell>
          <cell r="C165" t="str">
            <v>руб</v>
          </cell>
          <cell r="E165">
            <v>326.3555</v>
          </cell>
          <cell r="F165">
            <v>0</v>
          </cell>
          <cell r="H165">
            <v>0</v>
          </cell>
          <cell r="I165" t="e">
            <v>#DIV/0!</v>
          </cell>
          <cell r="J165">
            <v>0</v>
          </cell>
          <cell r="M165" t="str">
            <v>Калининский</v>
          </cell>
        </row>
        <row r="166">
          <cell r="A166">
            <v>4</v>
          </cell>
          <cell r="B166" t="str">
            <v>М/з а/ бетонная смесь</v>
          </cell>
          <cell r="C166" t="str">
            <v>руб</v>
          </cell>
          <cell r="E166">
            <v>11632.52</v>
          </cell>
          <cell r="F166">
            <v>0</v>
          </cell>
          <cell r="H166">
            <v>0</v>
          </cell>
          <cell r="I166" t="e">
            <v>#DIV/0!</v>
          </cell>
          <cell r="J166">
            <v>0</v>
          </cell>
          <cell r="M166" t="str">
            <v>Калининский</v>
          </cell>
        </row>
        <row r="167">
          <cell r="A167">
            <v>5</v>
          </cell>
          <cell r="B167" t="str">
            <v>черный щебень</v>
          </cell>
          <cell r="C167" t="str">
            <v>руб</v>
          </cell>
          <cell r="E167">
            <v>4238.990000000001</v>
          </cell>
          <cell r="F167">
            <v>0</v>
          </cell>
          <cell r="H167">
            <v>0</v>
          </cell>
          <cell r="I167" t="e">
            <v>#DIV/0!</v>
          </cell>
          <cell r="J167">
            <v>0</v>
          </cell>
          <cell r="M167" t="str">
            <v>Калининский</v>
          </cell>
        </row>
        <row r="168">
          <cell r="A168">
            <v>6</v>
          </cell>
          <cell r="B168" t="str">
            <v>Прочие материалы</v>
          </cell>
          <cell r="C168" t="str">
            <v>руб</v>
          </cell>
          <cell r="E168">
            <v>29</v>
          </cell>
          <cell r="F168">
            <v>0</v>
          </cell>
          <cell r="H168">
            <v>0</v>
          </cell>
          <cell r="I168" t="e">
            <v>#DIV/0!</v>
          </cell>
          <cell r="J168">
            <v>0</v>
          </cell>
          <cell r="M168" t="str">
            <v>Калининский</v>
          </cell>
        </row>
        <row r="169">
          <cell r="A169">
            <v>7</v>
          </cell>
          <cell r="B169">
            <v>0</v>
          </cell>
          <cell r="C169" t="str">
            <v>руб</v>
          </cell>
          <cell r="E169">
            <v>0</v>
          </cell>
          <cell r="F169">
            <v>0</v>
          </cell>
          <cell r="H169">
            <v>0</v>
          </cell>
          <cell r="I169" t="e">
            <v>#DIV/0!</v>
          </cell>
          <cell r="J169">
            <v>0</v>
          </cell>
          <cell r="M169" t="str">
            <v>Калининский</v>
          </cell>
        </row>
        <row r="170">
          <cell r="A170">
            <v>8</v>
          </cell>
          <cell r="B170">
            <v>0</v>
          </cell>
          <cell r="C170" t="str">
            <v>руб</v>
          </cell>
          <cell r="E170">
            <v>0</v>
          </cell>
          <cell r="F170">
            <v>0</v>
          </cell>
          <cell r="H170">
            <v>0</v>
          </cell>
          <cell r="I170" t="e">
            <v>#DIV/0!</v>
          </cell>
          <cell r="J170">
            <v>0</v>
          </cell>
          <cell r="M170" t="str">
            <v>Калининский</v>
          </cell>
        </row>
        <row r="171">
          <cell r="A171">
            <v>9</v>
          </cell>
          <cell r="B171">
            <v>0</v>
          </cell>
          <cell r="C171" t="str">
            <v>руб</v>
          </cell>
          <cell r="E171">
            <v>0</v>
          </cell>
          <cell r="F171">
            <v>0</v>
          </cell>
          <cell r="H171">
            <v>0</v>
          </cell>
          <cell r="I171" t="e">
            <v>#DIV/0!</v>
          </cell>
          <cell r="J171">
            <v>0</v>
          </cell>
          <cell r="M171" t="str">
            <v>Калининский</v>
          </cell>
        </row>
        <row r="172">
          <cell r="A172">
            <v>10</v>
          </cell>
          <cell r="B172">
            <v>0</v>
          </cell>
          <cell r="C172" t="str">
            <v>руб</v>
          </cell>
          <cell r="E172">
            <v>0</v>
          </cell>
          <cell r="F172">
            <v>0</v>
          </cell>
          <cell r="H172">
            <v>0</v>
          </cell>
          <cell r="I172" t="e">
            <v>#DIV/0!</v>
          </cell>
          <cell r="J172">
            <v>0</v>
          </cell>
          <cell r="M172" t="str">
            <v>Калининский</v>
          </cell>
        </row>
        <row r="173">
          <cell r="M173" t="str">
            <v>Калининский</v>
          </cell>
        </row>
        <row r="174">
          <cell r="M174" t="str">
            <v>Калининский</v>
          </cell>
        </row>
        <row r="175">
          <cell r="B175" t="str">
            <v>Составил:______________________________</v>
          </cell>
          <cell r="M175" t="str">
            <v>Калининский</v>
          </cell>
        </row>
        <row r="176">
          <cell r="M176" t="str">
            <v>Калининский</v>
          </cell>
        </row>
        <row r="177">
          <cell r="B177" t="str">
            <v>Начальник ТДО: ________________________</v>
          </cell>
        </row>
        <row r="178">
          <cell r="B178" t="str">
            <v>Район: Калининский \ Калининская - Новониколаевская ;  км: 17+800-22+100 ; 30+500-32+500 \ Поверхностная обработка (I вариант)</v>
          </cell>
          <cell r="K178">
            <v>99</v>
          </cell>
          <cell r="M178" t="str">
            <v>Калининский</v>
          </cell>
        </row>
        <row r="179">
          <cell r="A179" t="str">
            <v>99-1.1.</v>
          </cell>
          <cell r="B179" t="str">
            <v>Фонд заработной платы</v>
          </cell>
          <cell r="D179">
            <v>2742</v>
          </cell>
          <cell r="F179">
            <v>1643</v>
          </cell>
          <cell r="H179">
            <v>35099.67600000001</v>
          </cell>
          <cell r="I179">
            <v>21.36316250760804</v>
          </cell>
          <cell r="J179">
            <v>33456.67600000001</v>
          </cell>
          <cell r="K179">
            <v>99</v>
          </cell>
          <cell r="L179" t="str">
            <v>1.1.</v>
          </cell>
          <cell r="M179" t="str">
            <v>Калининский</v>
          </cell>
        </row>
        <row r="180">
          <cell r="A180" t="str">
            <v>99-1.1.1.</v>
          </cell>
          <cell r="B180" t="str">
            <v>Основные рабочие</v>
          </cell>
          <cell r="C180" t="str">
            <v>ч/ч</v>
          </cell>
          <cell r="D180">
            <v>1876</v>
          </cell>
          <cell r="E180">
            <v>0.5522388059701493</v>
          </cell>
          <cell r="F180">
            <v>1036</v>
          </cell>
          <cell r="G180">
            <v>12.201000000000002</v>
          </cell>
          <cell r="H180">
            <v>22889.076000000005</v>
          </cell>
          <cell r="I180">
            <v>22.093702702702707</v>
          </cell>
          <cell r="J180">
            <v>21853.076000000005</v>
          </cell>
          <cell r="K180">
            <v>99</v>
          </cell>
          <cell r="L180" t="str">
            <v>1.1.1.</v>
          </cell>
          <cell r="M180" t="str">
            <v>Калининский</v>
          </cell>
        </row>
        <row r="181">
          <cell r="A181" t="str">
            <v>99-1.1.2.</v>
          </cell>
          <cell r="B181" t="str">
            <v>Машинисты</v>
          </cell>
          <cell r="C181" t="str">
            <v>ч/ч</v>
          </cell>
          <cell r="D181">
            <v>866</v>
          </cell>
          <cell r="E181">
            <v>0.701</v>
          </cell>
          <cell r="F181">
            <v>607</v>
          </cell>
          <cell r="G181">
            <v>14.100000000000003</v>
          </cell>
          <cell r="H181">
            <v>12210.600000000002</v>
          </cell>
          <cell r="I181">
            <v>20.116309719934105</v>
          </cell>
          <cell r="J181">
            <v>11603.600000000002</v>
          </cell>
          <cell r="K181">
            <v>99</v>
          </cell>
          <cell r="L181" t="str">
            <v>1.1.2.</v>
          </cell>
          <cell r="M181" t="str">
            <v>Калининский</v>
          </cell>
        </row>
        <row r="182">
          <cell r="M182" t="str">
            <v>Калининский</v>
          </cell>
        </row>
        <row r="183">
          <cell r="A183" t="str">
            <v>99-1.2.</v>
          </cell>
          <cell r="B183" t="str">
            <v>Технические ресурсы по нормам СНиП (без зарботной платы машиниста)</v>
          </cell>
          <cell r="F183">
            <v>1567.2792</v>
          </cell>
          <cell r="H183">
            <v>67669.99844</v>
          </cell>
          <cell r="I183">
            <v>43.17673484086307</v>
          </cell>
          <cell r="J183">
            <v>66102.71923999999</v>
          </cell>
          <cell r="K183">
            <v>99</v>
          </cell>
          <cell r="L183" t="str">
            <v>1.2.</v>
          </cell>
          <cell r="M183" t="str">
            <v>Калининский</v>
          </cell>
        </row>
        <row r="184">
          <cell r="A184">
            <v>1</v>
          </cell>
          <cell r="B184" t="str">
            <v>Автогрейдер средний</v>
          </cell>
          <cell r="C184" t="str">
            <v>м/ч</v>
          </cell>
          <cell r="D184">
            <v>45.28</v>
          </cell>
          <cell r="E184">
            <v>2.48</v>
          </cell>
          <cell r="F184">
            <v>112.2944</v>
          </cell>
          <cell r="G184">
            <v>125.03</v>
          </cell>
          <cell r="H184">
            <v>5661.3584</v>
          </cell>
          <cell r="I184">
            <v>50.41532258064517</v>
          </cell>
          <cell r="J184">
            <v>5549.064</v>
          </cell>
          <cell r="M184" t="str">
            <v>Калининский</v>
          </cell>
        </row>
        <row r="185">
          <cell r="A185">
            <v>2</v>
          </cell>
          <cell r="B185" t="str">
            <v>Щебнераспределитель</v>
          </cell>
          <cell r="C185" t="str">
            <v>м/ч</v>
          </cell>
          <cell r="D185">
            <v>43.68</v>
          </cell>
          <cell r="E185">
            <v>4.21</v>
          </cell>
          <cell r="F185">
            <v>183.8928</v>
          </cell>
          <cell r="G185">
            <v>86.93</v>
          </cell>
          <cell r="H185">
            <v>3797.1024</v>
          </cell>
          <cell r="I185">
            <v>20.648456057007127</v>
          </cell>
          <cell r="J185">
            <v>3613.2096</v>
          </cell>
          <cell r="M185" t="str">
            <v>Калининский</v>
          </cell>
        </row>
        <row r="186">
          <cell r="A186">
            <v>3</v>
          </cell>
          <cell r="B186" t="str">
            <v>Автогудронатор 3500л</v>
          </cell>
          <cell r="C186" t="str">
            <v>м/ч</v>
          </cell>
          <cell r="D186">
            <v>25.2</v>
          </cell>
          <cell r="E186">
            <v>5.99</v>
          </cell>
          <cell r="F186">
            <v>150.948</v>
          </cell>
          <cell r="G186">
            <v>77.02</v>
          </cell>
          <cell r="H186">
            <v>1940.9039999999998</v>
          </cell>
          <cell r="I186">
            <v>12.858096828046742</v>
          </cell>
          <cell r="J186">
            <v>1789.9559999999997</v>
          </cell>
          <cell r="M186" t="str">
            <v>Калининский</v>
          </cell>
        </row>
        <row r="187">
          <cell r="A187">
            <v>4</v>
          </cell>
          <cell r="B187" t="str">
            <v>Машина поливомоечная</v>
          </cell>
          <cell r="C187" t="str">
            <v>м/ч</v>
          </cell>
          <cell r="D187">
            <v>15.011999999999999</v>
          </cell>
          <cell r="E187">
            <v>6.16</v>
          </cell>
          <cell r="F187">
            <v>92.47391999999999</v>
          </cell>
          <cell r="G187">
            <v>197.6</v>
          </cell>
          <cell r="H187">
            <v>2966.3711999999996</v>
          </cell>
          <cell r="I187">
            <v>32.077922077922075</v>
          </cell>
          <cell r="J187">
            <v>2873.8972799999997</v>
          </cell>
          <cell r="M187" t="str">
            <v>Калининский</v>
          </cell>
        </row>
        <row r="188">
          <cell r="A188">
            <v>5</v>
          </cell>
          <cell r="B188" t="str">
            <v>Каток  самоходный гладкий 5 тн </v>
          </cell>
          <cell r="C188" t="str">
            <v>м/ч</v>
          </cell>
          <cell r="D188">
            <v>204.516</v>
          </cell>
          <cell r="E188">
            <v>1.81</v>
          </cell>
          <cell r="F188">
            <v>370.17396</v>
          </cell>
          <cell r="G188">
            <v>80.16</v>
          </cell>
          <cell r="H188">
            <v>16394.002559999997</v>
          </cell>
          <cell r="I188">
            <v>44.28729281767955</v>
          </cell>
          <cell r="J188">
            <v>16023.828599999997</v>
          </cell>
          <cell r="M188" t="str">
            <v>Калининский</v>
          </cell>
        </row>
        <row r="189">
          <cell r="A189">
            <v>6</v>
          </cell>
          <cell r="B189" t="str">
            <v>Каток вальцевый  10 тн </v>
          </cell>
          <cell r="C189" t="str">
            <v>м/ч</v>
          </cell>
          <cell r="D189">
            <v>247.32</v>
          </cell>
          <cell r="E189">
            <v>1.69</v>
          </cell>
          <cell r="F189">
            <v>418</v>
          </cell>
          <cell r="G189">
            <v>117.14</v>
          </cell>
          <cell r="H189">
            <v>28971.0648</v>
          </cell>
          <cell r="I189">
            <v>69.30876746411484</v>
          </cell>
          <cell r="J189">
            <v>28553.0648</v>
          </cell>
          <cell r="M189" t="str">
            <v>Калининский</v>
          </cell>
        </row>
        <row r="190">
          <cell r="A190">
            <v>7</v>
          </cell>
          <cell r="B190" t="str">
            <v>Укладчик а/бетона</v>
          </cell>
          <cell r="C190" t="str">
            <v>м/ч</v>
          </cell>
          <cell r="D190">
            <v>27.971999999999998</v>
          </cell>
          <cell r="E190">
            <v>2.29</v>
          </cell>
          <cell r="F190">
            <v>64.05588</v>
          </cell>
          <cell r="G190">
            <v>148.81</v>
          </cell>
          <cell r="H190">
            <v>4162.51332</v>
          </cell>
          <cell r="I190">
            <v>64.9825327510917</v>
          </cell>
          <cell r="J190">
            <v>4098.45744</v>
          </cell>
          <cell r="M190" t="str">
            <v>Калининский</v>
          </cell>
        </row>
        <row r="191">
          <cell r="A191">
            <v>8</v>
          </cell>
          <cell r="B191" t="str">
            <v>Пневмокаток 18тн</v>
          </cell>
          <cell r="C191" t="str">
            <v>м/ч</v>
          </cell>
          <cell r="D191">
            <v>6.9719999999999995</v>
          </cell>
          <cell r="E191">
            <v>4.88</v>
          </cell>
          <cell r="F191">
            <v>34.02336</v>
          </cell>
          <cell r="G191">
            <v>141.41</v>
          </cell>
          <cell r="H191">
            <v>985.9105199999999</v>
          </cell>
          <cell r="I191">
            <v>28.977459016393443</v>
          </cell>
          <cell r="J191">
            <v>951.8871599999999</v>
          </cell>
          <cell r="M191" t="str">
            <v>Калининский</v>
          </cell>
        </row>
        <row r="192">
          <cell r="A192">
            <v>9</v>
          </cell>
          <cell r="B192" t="str">
            <v>Автогудронатор 7000 л</v>
          </cell>
          <cell r="C192" t="str">
            <v>м/ч</v>
          </cell>
          <cell r="D192">
            <v>12.564</v>
          </cell>
          <cell r="E192">
            <v>7.22</v>
          </cell>
          <cell r="F192">
            <v>90.71208</v>
          </cell>
          <cell r="G192">
            <v>141.41</v>
          </cell>
          <cell r="H192">
            <v>1776.67524</v>
          </cell>
          <cell r="I192">
            <v>19.585872576177284</v>
          </cell>
          <cell r="J192">
            <v>1685.96316</v>
          </cell>
          <cell r="M192" t="str">
            <v>Калининский</v>
          </cell>
        </row>
        <row r="193">
          <cell r="A193">
            <v>10</v>
          </cell>
          <cell r="B193" t="str">
            <v>Прочие машины</v>
          </cell>
          <cell r="C193" t="str">
            <v>руб</v>
          </cell>
          <cell r="D193">
            <v>50.7048</v>
          </cell>
          <cell r="E193">
            <v>1</v>
          </cell>
          <cell r="F193">
            <v>50.7048</v>
          </cell>
          <cell r="G193">
            <v>20</v>
          </cell>
          <cell r="H193">
            <v>1014.096</v>
          </cell>
          <cell r="I193">
            <v>20</v>
          </cell>
          <cell r="J193">
            <v>963.3912</v>
          </cell>
          <cell r="M193" t="str">
            <v>Калининский</v>
          </cell>
        </row>
        <row r="194">
          <cell r="M194" t="str">
            <v>Калининский</v>
          </cell>
        </row>
        <row r="195">
          <cell r="A195" t="str">
            <v>99-1.3.</v>
          </cell>
          <cell r="B195" t="str">
            <v>Материалы</v>
          </cell>
          <cell r="F195">
            <v>41291.491799999996</v>
          </cell>
          <cell r="H195">
            <v>1243551.9002</v>
          </cell>
          <cell r="I195">
            <v>30.116419775368836</v>
          </cell>
          <cell r="J195">
            <v>1202260.4084</v>
          </cell>
          <cell r="K195">
            <v>99</v>
          </cell>
          <cell r="L195" t="str">
            <v>1.3.</v>
          </cell>
          <cell r="M195" t="str">
            <v>Калининский</v>
          </cell>
        </row>
        <row r="196">
          <cell r="B196" t="str">
            <v>Материальные ресурсы по нормам СНиП</v>
          </cell>
          <cell r="F196">
            <v>28244.851799999997</v>
          </cell>
          <cell r="H196">
            <v>1000719.5002</v>
          </cell>
          <cell r="I196">
            <v>35.43015581338614</v>
          </cell>
          <cell r="J196">
            <v>972474.6484</v>
          </cell>
          <cell r="M196" t="str">
            <v>Калининский</v>
          </cell>
        </row>
        <row r="197">
          <cell r="A197">
            <v>1</v>
          </cell>
          <cell r="B197" t="str">
            <v>ПГС</v>
          </cell>
          <cell r="C197" t="str">
            <v>м3</v>
          </cell>
          <cell r="D197">
            <v>640</v>
          </cell>
          <cell r="E197">
            <v>1.9</v>
          </cell>
          <cell r="F197">
            <v>1216</v>
          </cell>
          <cell r="G197">
            <v>40.57</v>
          </cell>
          <cell r="H197">
            <v>25964.8</v>
          </cell>
          <cell r="I197">
            <v>21.352631578947367</v>
          </cell>
          <cell r="J197">
            <v>24748.8</v>
          </cell>
          <cell r="M197" t="str">
            <v>Калининский</v>
          </cell>
        </row>
        <row r="198">
          <cell r="A198">
            <v>2</v>
          </cell>
          <cell r="B198" t="str">
            <v>Битум вязкий </v>
          </cell>
          <cell r="C198" t="str">
            <v>т</v>
          </cell>
          <cell r="D198">
            <v>35.9</v>
          </cell>
          <cell r="E198">
            <v>65.88</v>
          </cell>
          <cell r="F198">
            <v>2365.0919999999996</v>
          </cell>
          <cell r="G198">
            <v>3528.4</v>
          </cell>
          <cell r="H198">
            <v>126669.56</v>
          </cell>
          <cell r="I198">
            <v>53.55798421372192</v>
          </cell>
          <cell r="J198">
            <v>124304.468</v>
          </cell>
          <cell r="M198" t="str">
            <v>Калининский</v>
          </cell>
        </row>
        <row r="199">
          <cell r="A199">
            <v>3</v>
          </cell>
          <cell r="B199" t="str">
            <v>Битум жидкий</v>
          </cell>
          <cell r="C199" t="str">
            <v>т</v>
          </cell>
          <cell r="D199">
            <v>18.54</v>
          </cell>
          <cell r="E199">
            <v>63.37</v>
          </cell>
          <cell r="F199">
            <v>1174.8798</v>
          </cell>
          <cell r="G199">
            <v>3493.63</v>
          </cell>
          <cell r="H199">
            <v>64771.9002</v>
          </cell>
          <cell r="I199">
            <v>55.130661196149596</v>
          </cell>
          <cell r="J199">
            <v>63597.020399999994</v>
          </cell>
          <cell r="M199" t="str">
            <v>Калининский</v>
          </cell>
        </row>
        <row r="200">
          <cell r="A200">
            <v>4</v>
          </cell>
          <cell r="B200" t="str">
            <v>М/з а/ бетонная смесь</v>
          </cell>
          <cell r="C200" t="str">
            <v>т</v>
          </cell>
          <cell r="D200">
            <v>722</v>
          </cell>
          <cell r="E200">
            <v>14.84</v>
          </cell>
          <cell r="F200">
            <v>10714.48</v>
          </cell>
          <cell r="G200">
            <v>569.5</v>
          </cell>
          <cell r="H200">
            <v>411179</v>
          </cell>
          <cell r="I200">
            <v>38.37601078167116</v>
          </cell>
          <cell r="J200">
            <v>400464.52</v>
          </cell>
          <cell r="M200" t="str">
            <v>Калининский</v>
          </cell>
        </row>
        <row r="201">
          <cell r="A201">
            <v>5</v>
          </cell>
          <cell r="B201" t="str">
            <v>черный щебень</v>
          </cell>
          <cell r="C201" t="str">
            <v>т</v>
          </cell>
          <cell r="D201">
            <v>998</v>
          </cell>
          <cell r="E201">
            <v>12.799999999999999</v>
          </cell>
          <cell r="F201">
            <v>12774.4</v>
          </cell>
          <cell r="G201">
            <v>372.88</v>
          </cell>
          <cell r="H201">
            <v>372134.24</v>
          </cell>
          <cell r="I201">
            <v>29.13125</v>
          </cell>
          <cell r="J201">
            <v>359359.83999999997</v>
          </cell>
          <cell r="M201" t="str">
            <v>Калининский</v>
          </cell>
        </row>
        <row r="202">
          <cell r="A202">
            <v>6</v>
          </cell>
          <cell r="F202">
            <v>0</v>
          </cell>
          <cell r="H202">
            <v>0</v>
          </cell>
          <cell r="I202" t="e">
            <v>#DIV/0!</v>
          </cell>
          <cell r="J202">
            <v>0</v>
          </cell>
          <cell r="M202" t="str">
            <v>Калининский</v>
          </cell>
        </row>
        <row r="203">
          <cell r="A203">
            <v>7</v>
          </cell>
          <cell r="F203">
            <v>0</v>
          </cell>
          <cell r="H203">
            <v>0</v>
          </cell>
          <cell r="I203" t="e">
            <v>#DIV/0!</v>
          </cell>
          <cell r="J203">
            <v>0</v>
          </cell>
          <cell r="M203" t="str">
            <v>Калининский</v>
          </cell>
        </row>
        <row r="204">
          <cell r="A204">
            <v>8</v>
          </cell>
          <cell r="F204">
            <v>0</v>
          </cell>
          <cell r="H204">
            <v>0</v>
          </cell>
          <cell r="I204" t="e">
            <v>#DIV/0!</v>
          </cell>
          <cell r="J204">
            <v>0</v>
          </cell>
          <cell r="M204" t="str">
            <v>Калининский</v>
          </cell>
        </row>
        <row r="205">
          <cell r="A205">
            <v>9</v>
          </cell>
          <cell r="F205">
            <v>0</v>
          </cell>
          <cell r="H205">
            <v>0</v>
          </cell>
          <cell r="I205" t="e">
            <v>#DIV/0!</v>
          </cell>
          <cell r="J205">
            <v>0</v>
          </cell>
          <cell r="M205" t="str">
            <v>Калининский</v>
          </cell>
        </row>
        <row r="206">
          <cell r="A206">
            <v>10</v>
          </cell>
          <cell r="F206">
            <v>0</v>
          </cell>
          <cell r="H206">
            <v>0</v>
          </cell>
          <cell r="I206" t="e">
            <v>#DIV/0!</v>
          </cell>
          <cell r="J206">
            <v>0</v>
          </cell>
          <cell r="M206" t="str">
            <v>Калининский</v>
          </cell>
        </row>
        <row r="207">
          <cell r="M207" t="str">
            <v>Калининский</v>
          </cell>
        </row>
        <row r="208">
          <cell r="B208" t="str">
            <v>Транспортировка материалов, т (вид транспорта, км)</v>
          </cell>
          <cell r="F208">
            <v>13046.64</v>
          </cell>
          <cell r="H208">
            <v>242832.4</v>
          </cell>
          <cell r="I208">
            <v>18.61263896298204</v>
          </cell>
          <cell r="J208">
            <v>229785.76</v>
          </cell>
          <cell r="M208" t="str">
            <v>Калининский</v>
          </cell>
        </row>
        <row r="209">
          <cell r="A209">
            <v>1</v>
          </cell>
          <cell r="B209" t="str">
            <v>ПГС - 165 км</v>
          </cell>
          <cell r="C209" t="str">
            <v>т</v>
          </cell>
          <cell r="D209">
            <v>1152</v>
          </cell>
          <cell r="E209">
            <v>7.82</v>
          </cell>
          <cell r="F209">
            <v>9008.64</v>
          </cell>
          <cell r="G209">
            <v>160.7</v>
          </cell>
          <cell r="H209">
            <v>185126.4</v>
          </cell>
          <cell r="I209">
            <v>20.54987212276215</v>
          </cell>
          <cell r="J209">
            <v>176117.76</v>
          </cell>
          <cell r="M209" t="str">
            <v>Калининский</v>
          </cell>
        </row>
        <row r="210">
          <cell r="A210">
            <v>2</v>
          </cell>
          <cell r="B210" t="str">
            <v>Битум вязкий -68 км</v>
          </cell>
          <cell r="C210" t="str">
            <v>т</v>
          </cell>
          <cell r="D210">
            <v>0</v>
          </cell>
          <cell r="F210">
            <v>0</v>
          </cell>
          <cell r="G210">
            <v>125.376</v>
          </cell>
          <cell r="H210">
            <v>0</v>
          </cell>
          <cell r="I210" t="e">
            <v>#DIV/0!</v>
          </cell>
          <cell r="J210">
            <v>0</v>
          </cell>
          <cell r="M210" t="str">
            <v>Калининский</v>
          </cell>
        </row>
        <row r="211">
          <cell r="A211">
            <v>3</v>
          </cell>
          <cell r="B211" t="str">
            <v>Битум жидкий-68 км</v>
          </cell>
          <cell r="C211" t="str">
            <v>т</v>
          </cell>
          <cell r="D211">
            <v>0</v>
          </cell>
          <cell r="F211">
            <v>0</v>
          </cell>
          <cell r="G211">
            <v>125.376</v>
          </cell>
          <cell r="H211">
            <v>0</v>
          </cell>
          <cell r="I211" t="e">
            <v>#DIV/0!</v>
          </cell>
          <cell r="J211">
            <v>0</v>
          </cell>
          <cell r="M211" t="str">
            <v>Калининский</v>
          </cell>
        </row>
        <row r="212">
          <cell r="A212">
            <v>4</v>
          </cell>
          <cell r="B212" t="str">
            <v>М/з а/ бетонная смесь -28 км</v>
          </cell>
          <cell r="C212" t="str">
            <v>т</v>
          </cell>
          <cell r="D212">
            <v>722</v>
          </cell>
          <cell r="E212">
            <v>2.2</v>
          </cell>
          <cell r="F212">
            <v>1588.4</v>
          </cell>
          <cell r="G212">
            <v>33.55</v>
          </cell>
          <cell r="H212">
            <v>24223.1</v>
          </cell>
          <cell r="I212">
            <v>15.249999999999998</v>
          </cell>
          <cell r="J212">
            <v>22634.699999999997</v>
          </cell>
          <cell r="M212" t="str">
            <v>Калининский</v>
          </cell>
        </row>
        <row r="213">
          <cell r="A213">
            <v>5</v>
          </cell>
          <cell r="B213" t="str">
            <v>Черный щебень-28 км</v>
          </cell>
          <cell r="C213" t="str">
            <v>т</v>
          </cell>
          <cell r="D213">
            <v>998</v>
          </cell>
          <cell r="E213">
            <v>2.2</v>
          </cell>
          <cell r="F213">
            <v>2195.6000000000004</v>
          </cell>
          <cell r="G213">
            <v>33.55</v>
          </cell>
          <cell r="H213">
            <v>33482.899999999994</v>
          </cell>
          <cell r="I213">
            <v>15.249999999999995</v>
          </cell>
          <cell r="J213">
            <v>31287.299999999996</v>
          </cell>
          <cell r="M213" t="str">
            <v>Калининский</v>
          </cell>
        </row>
        <row r="214">
          <cell r="A214">
            <v>6</v>
          </cell>
          <cell r="B214" t="str">
            <v>Доп тр битума</v>
          </cell>
          <cell r="C214" t="str">
            <v>т</v>
          </cell>
          <cell r="F214">
            <v>254</v>
          </cell>
          <cell r="H214">
            <v>0</v>
          </cell>
          <cell r="I214">
            <v>0</v>
          </cell>
          <cell r="J214">
            <v>-254</v>
          </cell>
          <cell r="M214" t="str">
            <v>Калининский</v>
          </cell>
        </row>
        <row r="215">
          <cell r="A215">
            <v>7</v>
          </cell>
          <cell r="C215" t="str">
            <v>т</v>
          </cell>
          <cell r="F215">
            <v>0</v>
          </cell>
          <cell r="H215">
            <v>0</v>
          </cell>
          <cell r="I215" t="e">
            <v>#DIV/0!</v>
          </cell>
          <cell r="J215">
            <v>0</v>
          </cell>
          <cell r="M215" t="str">
            <v>Калининский</v>
          </cell>
        </row>
        <row r="216">
          <cell r="A216">
            <v>8</v>
          </cell>
          <cell r="C216" t="str">
            <v>т</v>
          </cell>
          <cell r="F216">
            <v>0</v>
          </cell>
          <cell r="H216">
            <v>0</v>
          </cell>
          <cell r="I216" t="e">
            <v>#DIV/0!</v>
          </cell>
          <cell r="J216">
            <v>0</v>
          </cell>
          <cell r="M216" t="str">
            <v>Калининский</v>
          </cell>
        </row>
        <row r="217">
          <cell r="A217">
            <v>9</v>
          </cell>
          <cell r="C217" t="str">
            <v>т</v>
          </cell>
          <cell r="F217">
            <v>0</v>
          </cell>
          <cell r="H217">
            <v>0</v>
          </cell>
          <cell r="I217" t="e">
            <v>#DIV/0!</v>
          </cell>
          <cell r="J217">
            <v>0</v>
          </cell>
          <cell r="M217" t="str">
            <v>Калининский</v>
          </cell>
        </row>
        <row r="218">
          <cell r="A218">
            <v>10</v>
          </cell>
          <cell r="C218" t="str">
            <v>т</v>
          </cell>
          <cell r="F218">
            <v>0</v>
          </cell>
          <cell r="H218">
            <v>0</v>
          </cell>
          <cell r="I218" t="e">
            <v>#DIV/0!</v>
          </cell>
          <cell r="J218">
            <v>0</v>
          </cell>
          <cell r="M218" t="str">
            <v>Калининский</v>
          </cell>
        </row>
        <row r="219">
          <cell r="M219" t="str">
            <v>Калининский</v>
          </cell>
        </row>
        <row r="220">
          <cell r="B220" t="str">
            <v>Заготовительно-складские расходы</v>
          </cell>
          <cell r="F220">
            <v>0</v>
          </cell>
          <cell r="H220">
            <v>0</v>
          </cell>
          <cell r="I220" t="e">
            <v>#DIV/0!</v>
          </cell>
          <cell r="J220">
            <v>0</v>
          </cell>
          <cell r="M220" t="str">
            <v>Калининский</v>
          </cell>
        </row>
        <row r="221">
          <cell r="A221">
            <v>1</v>
          </cell>
          <cell r="B221" t="str">
            <v>ПГС</v>
          </cell>
          <cell r="C221" t="str">
            <v>руб</v>
          </cell>
          <cell r="E221">
            <v>10224.64</v>
          </cell>
          <cell r="F221">
            <v>0</v>
          </cell>
          <cell r="H221">
            <v>0</v>
          </cell>
          <cell r="I221" t="e">
            <v>#DIV/0!</v>
          </cell>
          <cell r="J221">
            <v>0</v>
          </cell>
          <cell r="M221" t="str">
            <v>Калининский</v>
          </cell>
        </row>
        <row r="222">
          <cell r="A222">
            <v>2</v>
          </cell>
          <cell r="B222" t="str">
            <v>Битум вязкий </v>
          </cell>
          <cell r="C222" t="str">
            <v>руб</v>
          </cell>
          <cell r="E222">
            <v>2365.0919999999996</v>
          </cell>
          <cell r="F222">
            <v>0</v>
          </cell>
          <cell r="H222">
            <v>0</v>
          </cell>
          <cell r="I222" t="e">
            <v>#DIV/0!</v>
          </cell>
          <cell r="J222">
            <v>0</v>
          </cell>
          <cell r="M222" t="str">
            <v>Калининский</v>
          </cell>
        </row>
        <row r="223">
          <cell r="A223">
            <v>3</v>
          </cell>
          <cell r="B223" t="str">
            <v>Битум жидкий</v>
          </cell>
          <cell r="C223" t="str">
            <v>руб</v>
          </cell>
          <cell r="E223">
            <v>1174.8798</v>
          </cell>
          <cell r="F223">
            <v>0</v>
          </cell>
          <cell r="H223">
            <v>0</v>
          </cell>
          <cell r="I223" t="e">
            <v>#DIV/0!</v>
          </cell>
          <cell r="J223">
            <v>0</v>
          </cell>
          <cell r="M223" t="str">
            <v>Калининский</v>
          </cell>
        </row>
        <row r="224">
          <cell r="A224">
            <v>4</v>
          </cell>
          <cell r="B224" t="str">
            <v>М/з а/ бетонная смесь</v>
          </cell>
          <cell r="C224" t="str">
            <v>руб</v>
          </cell>
          <cell r="E224">
            <v>12302.88</v>
          </cell>
          <cell r="F224">
            <v>0</v>
          </cell>
          <cell r="H224">
            <v>0</v>
          </cell>
          <cell r="I224" t="e">
            <v>#DIV/0!</v>
          </cell>
          <cell r="J224">
            <v>0</v>
          </cell>
          <cell r="M224" t="str">
            <v>Калининский</v>
          </cell>
        </row>
        <row r="225">
          <cell r="A225">
            <v>5</v>
          </cell>
          <cell r="B225" t="str">
            <v>черный щебень</v>
          </cell>
          <cell r="C225" t="str">
            <v>руб</v>
          </cell>
          <cell r="E225">
            <v>14970</v>
          </cell>
          <cell r="F225">
            <v>0</v>
          </cell>
          <cell r="H225">
            <v>0</v>
          </cell>
          <cell r="I225" t="e">
            <v>#DIV/0!</v>
          </cell>
          <cell r="J225">
            <v>0</v>
          </cell>
          <cell r="M225" t="str">
            <v>Калининский</v>
          </cell>
        </row>
        <row r="226">
          <cell r="A226">
            <v>6</v>
          </cell>
          <cell r="B226">
            <v>0</v>
          </cell>
          <cell r="C226" t="str">
            <v>руб</v>
          </cell>
          <cell r="E226">
            <v>254</v>
          </cell>
          <cell r="F226">
            <v>0</v>
          </cell>
          <cell r="H226">
            <v>0</v>
          </cell>
          <cell r="I226" t="e">
            <v>#DIV/0!</v>
          </cell>
          <cell r="J226">
            <v>0</v>
          </cell>
          <cell r="M226" t="str">
            <v>Калининский</v>
          </cell>
        </row>
        <row r="227">
          <cell r="A227">
            <v>7</v>
          </cell>
          <cell r="B227">
            <v>0</v>
          </cell>
          <cell r="C227" t="str">
            <v>руб</v>
          </cell>
          <cell r="E227">
            <v>0</v>
          </cell>
          <cell r="F227">
            <v>0</v>
          </cell>
          <cell r="H227">
            <v>0</v>
          </cell>
          <cell r="I227" t="e">
            <v>#DIV/0!</v>
          </cell>
          <cell r="J227">
            <v>0</v>
          </cell>
          <cell r="M227" t="str">
            <v>Калининский</v>
          </cell>
        </row>
        <row r="228">
          <cell r="A228">
            <v>8</v>
          </cell>
          <cell r="B228">
            <v>0</v>
          </cell>
          <cell r="C228" t="str">
            <v>руб</v>
          </cell>
          <cell r="E228">
            <v>0</v>
          </cell>
          <cell r="F228">
            <v>0</v>
          </cell>
          <cell r="H228">
            <v>0</v>
          </cell>
          <cell r="I228" t="e">
            <v>#DIV/0!</v>
          </cell>
          <cell r="J228">
            <v>0</v>
          </cell>
          <cell r="M228" t="str">
            <v>Калининский</v>
          </cell>
        </row>
        <row r="229">
          <cell r="A229">
            <v>9</v>
          </cell>
          <cell r="B229">
            <v>0</v>
          </cell>
          <cell r="C229" t="str">
            <v>руб</v>
          </cell>
          <cell r="E229">
            <v>0</v>
          </cell>
          <cell r="F229">
            <v>0</v>
          </cell>
          <cell r="H229">
            <v>0</v>
          </cell>
          <cell r="I229" t="e">
            <v>#DIV/0!</v>
          </cell>
          <cell r="J229">
            <v>0</v>
          </cell>
          <cell r="M229" t="str">
            <v>Калининский</v>
          </cell>
        </row>
        <row r="230">
          <cell r="A230">
            <v>10</v>
          </cell>
          <cell r="B230">
            <v>0</v>
          </cell>
          <cell r="C230" t="str">
            <v>руб</v>
          </cell>
          <cell r="E230">
            <v>0</v>
          </cell>
          <cell r="F230">
            <v>0</v>
          </cell>
          <cell r="H230">
            <v>0</v>
          </cell>
          <cell r="I230" t="e">
            <v>#DIV/0!</v>
          </cell>
          <cell r="J230">
            <v>0</v>
          </cell>
          <cell r="M230" t="str">
            <v>Калининский</v>
          </cell>
        </row>
        <row r="231">
          <cell r="M231" t="str">
            <v>Калининский</v>
          </cell>
        </row>
        <row r="232">
          <cell r="M232" t="str">
            <v>Калининский</v>
          </cell>
        </row>
        <row r="233">
          <cell r="B233" t="str">
            <v>Составил:______________________________</v>
          </cell>
          <cell r="M233" t="str">
            <v>Калининский</v>
          </cell>
        </row>
        <row r="234">
          <cell r="M234" t="str">
            <v>Калининский</v>
          </cell>
        </row>
        <row r="235">
          <cell r="B235" t="str">
            <v>Начальник ТДО: ________________________</v>
          </cell>
        </row>
        <row r="236">
          <cell r="B236" t="str">
            <v>Район: Калининский \ Тимашевск - Славянск-на-Кубани - Крымск ;  км: 28+000-33+000 \ Облегченный ремонт - III вариант</v>
          </cell>
          <cell r="K236">
            <v>100</v>
          </cell>
          <cell r="M236" t="str">
            <v>Калининский</v>
          </cell>
        </row>
        <row r="237">
          <cell r="A237" t="str">
            <v>100-1.1.</v>
          </cell>
          <cell r="B237" t="str">
            <v>Фонд заработной платы</v>
          </cell>
          <cell r="D237">
            <v>6799</v>
          </cell>
          <cell r="F237">
            <v>4436</v>
          </cell>
          <cell r="H237">
            <v>90067</v>
          </cell>
          <cell r="I237">
            <v>20</v>
          </cell>
          <cell r="J237">
            <v>85631</v>
          </cell>
          <cell r="K237">
            <v>100</v>
          </cell>
          <cell r="L237" t="str">
            <v>1.1.</v>
          </cell>
          <cell r="M237" t="str">
            <v>Калининский</v>
          </cell>
        </row>
        <row r="238">
          <cell r="A238" t="str">
            <v>100-1.1.1.</v>
          </cell>
          <cell r="B238" t="str">
            <v>Основные рабочие</v>
          </cell>
          <cell r="C238" t="str">
            <v>ч/ч</v>
          </cell>
          <cell r="D238">
            <v>4688</v>
          </cell>
          <cell r="E238">
            <v>0.552</v>
          </cell>
          <cell r="F238">
            <v>2590</v>
          </cell>
          <cell r="G238">
            <v>12.2</v>
          </cell>
          <cell r="H238">
            <v>57198</v>
          </cell>
          <cell r="I238">
            <v>22.08</v>
          </cell>
          <cell r="J238">
            <v>54608</v>
          </cell>
          <cell r="K238">
            <v>100</v>
          </cell>
          <cell r="L238" t="str">
            <v>1.1.1.</v>
          </cell>
          <cell r="M238" t="str">
            <v>Калининский</v>
          </cell>
        </row>
        <row r="239">
          <cell r="A239" t="str">
            <v>100-1.1.2.</v>
          </cell>
          <cell r="B239" t="str">
            <v>Машинисты</v>
          </cell>
          <cell r="C239" t="str">
            <v>ч/ч</v>
          </cell>
          <cell r="D239">
            <v>2111</v>
          </cell>
          <cell r="E239">
            <v>0.874</v>
          </cell>
          <cell r="F239">
            <v>1846</v>
          </cell>
          <cell r="G239">
            <v>15.57</v>
          </cell>
          <cell r="H239">
            <v>32868</v>
          </cell>
          <cell r="I239">
            <v>17.81</v>
          </cell>
          <cell r="J239">
            <v>31022</v>
          </cell>
          <cell r="K239">
            <v>100</v>
          </cell>
          <cell r="L239" t="str">
            <v>1.1.2.</v>
          </cell>
          <cell r="M239" t="str">
            <v>Калининский</v>
          </cell>
        </row>
        <row r="240">
          <cell r="M240" t="str">
            <v>Калининский</v>
          </cell>
        </row>
        <row r="241">
          <cell r="A241" t="str">
            <v>100-1.2.</v>
          </cell>
          <cell r="B241" t="str">
            <v>Технические ресурсы по нормам СНиП (без зарботной платы машиниста)</v>
          </cell>
          <cell r="F241">
            <v>4125</v>
          </cell>
          <cell r="H241">
            <v>207017</v>
          </cell>
          <cell r="I241">
            <v>50.19</v>
          </cell>
          <cell r="J241">
            <v>202892</v>
          </cell>
          <cell r="K241">
            <v>100</v>
          </cell>
          <cell r="L241" t="str">
            <v>1.2.</v>
          </cell>
          <cell r="M241" t="str">
            <v>Калининский</v>
          </cell>
        </row>
        <row r="242">
          <cell r="A242">
            <v>1</v>
          </cell>
          <cell r="B242" t="str">
            <v>Автогрейдер средний</v>
          </cell>
          <cell r="C242" t="str">
            <v>м/ч</v>
          </cell>
          <cell r="D242">
            <v>86</v>
          </cell>
          <cell r="E242">
            <v>2.48</v>
          </cell>
          <cell r="F242">
            <v>213</v>
          </cell>
          <cell r="G242">
            <v>125.03</v>
          </cell>
          <cell r="H242">
            <v>10753</v>
          </cell>
          <cell r="I242">
            <v>50.42</v>
          </cell>
          <cell r="J242">
            <v>10539</v>
          </cell>
          <cell r="M242" t="str">
            <v>Калининский</v>
          </cell>
        </row>
        <row r="243">
          <cell r="A243">
            <v>2</v>
          </cell>
          <cell r="B243" t="str">
            <v>Щебнераспределитель</v>
          </cell>
          <cell r="C243" t="str">
            <v>м/ч</v>
          </cell>
          <cell r="D243">
            <v>51</v>
          </cell>
          <cell r="E243">
            <v>4.21</v>
          </cell>
          <cell r="F243">
            <v>217</v>
          </cell>
          <cell r="G243">
            <v>86.93</v>
          </cell>
          <cell r="H243">
            <v>4475</v>
          </cell>
          <cell r="I243">
            <v>20.65</v>
          </cell>
          <cell r="J243">
            <v>4258</v>
          </cell>
          <cell r="M243" t="str">
            <v>Калининский</v>
          </cell>
        </row>
        <row r="244">
          <cell r="A244">
            <v>3</v>
          </cell>
          <cell r="B244" t="str">
            <v>Автогудронатор 3500л</v>
          </cell>
          <cell r="C244" t="str">
            <v>м/ч</v>
          </cell>
          <cell r="D244">
            <v>10</v>
          </cell>
          <cell r="E244">
            <v>5.99</v>
          </cell>
          <cell r="F244">
            <v>60</v>
          </cell>
          <cell r="G244">
            <v>77.02</v>
          </cell>
          <cell r="H244">
            <v>776</v>
          </cell>
          <cell r="I244">
            <v>12.86</v>
          </cell>
          <cell r="J244">
            <v>716</v>
          </cell>
          <cell r="M244" t="str">
            <v>Калининский</v>
          </cell>
        </row>
        <row r="245">
          <cell r="A245">
            <v>4</v>
          </cell>
          <cell r="B245" t="str">
            <v>Машина поливомоечная</v>
          </cell>
          <cell r="C245" t="str">
            <v>м/ч</v>
          </cell>
          <cell r="D245">
            <v>29</v>
          </cell>
          <cell r="E245">
            <v>6.16</v>
          </cell>
          <cell r="F245">
            <v>176</v>
          </cell>
          <cell r="G245">
            <v>197.6</v>
          </cell>
          <cell r="H245">
            <v>5636</v>
          </cell>
          <cell r="I245">
            <v>32.08</v>
          </cell>
          <cell r="J245">
            <v>5461</v>
          </cell>
          <cell r="M245" t="str">
            <v>Калининский</v>
          </cell>
        </row>
        <row r="246">
          <cell r="A246">
            <v>5</v>
          </cell>
          <cell r="B246" t="str">
            <v>Каток  самоходный гладкий 5 тн </v>
          </cell>
          <cell r="C246" t="str">
            <v>м/ч</v>
          </cell>
          <cell r="D246">
            <v>685</v>
          </cell>
          <cell r="E246">
            <v>1.81</v>
          </cell>
          <cell r="F246">
            <v>1241</v>
          </cell>
          <cell r="G246">
            <v>80.16</v>
          </cell>
          <cell r="H246">
            <v>54949</v>
          </cell>
          <cell r="I246">
            <v>44.29</v>
          </cell>
          <cell r="J246">
            <v>53708</v>
          </cell>
          <cell r="M246" t="str">
            <v>Калининский</v>
          </cell>
        </row>
        <row r="247">
          <cell r="A247">
            <v>6</v>
          </cell>
          <cell r="B247" t="str">
            <v>Каток вальцевый  10 тн </v>
          </cell>
          <cell r="C247" t="str">
            <v>м/ч</v>
          </cell>
          <cell r="D247">
            <v>668</v>
          </cell>
          <cell r="E247">
            <v>1.69</v>
          </cell>
          <cell r="F247">
            <v>1129</v>
          </cell>
          <cell r="G247">
            <v>117.14</v>
          </cell>
          <cell r="H247">
            <v>78254</v>
          </cell>
          <cell r="I247">
            <v>69.31</v>
          </cell>
          <cell r="J247">
            <v>77125</v>
          </cell>
          <cell r="M247" t="str">
            <v>Калининский</v>
          </cell>
        </row>
        <row r="248">
          <cell r="A248">
            <v>7</v>
          </cell>
          <cell r="B248" t="str">
            <v>Укладчик а/бетона</v>
          </cell>
          <cell r="C248" t="str">
            <v>м/ч</v>
          </cell>
          <cell r="D248">
            <v>296</v>
          </cell>
          <cell r="E248">
            <v>2.29</v>
          </cell>
          <cell r="F248">
            <v>677</v>
          </cell>
          <cell r="G248">
            <v>148.81</v>
          </cell>
          <cell r="H248">
            <v>43991</v>
          </cell>
          <cell r="I248">
            <v>64.98</v>
          </cell>
          <cell r="J248">
            <v>43314</v>
          </cell>
          <cell r="M248" t="str">
            <v>Калининский</v>
          </cell>
        </row>
        <row r="249">
          <cell r="A249">
            <v>8</v>
          </cell>
          <cell r="B249" t="str">
            <v>Пневмокаток 18тн</v>
          </cell>
          <cell r="C249" t="str">
            <v>м/ч</v>
          </cell>
          <cell r="D249">
            <v>11</v>
          </cell>
          <cell r="E249">
            <v>4.88</v>
          </cell>
          <cell r="F249">
            <v>54</v>
          </cell>
          <cell r="G249">
            <v>94.73</v>
          </cell>
          <cell r="H249">
            <v>1045</v>
          </cell>
          <cell r="I249">
            <v>19.41</v>
          </cell>
          <cell r="J249">
            <v>991</v>
          </cell>
          <cell r="M249" t="str">
            <v>Калининский</v>
          </cell>
        </row>
        <row r="250">
          <cell r="A250">
            <v>9</v>
          </cell>
          <cell r="B250" t="str">
            <v>Автогудронатор 7000 л</v>
          </cell>
          <cell r="C250" t="str">
            <v>м/ч</v>
          </cell>
          <cell r="D250">
            <v>10</v>
          </cell>
          <cell r="E250">
            <v>7.22</v>
          </cell>
          <cell r="F250">
            <v>73</v>
          </cell>
          <cell r="G250">
            <v>141.41</v>
          </cell>
          <cell r="H250">
            <v>1425</v>
          </cell>
          <cell r="I250">
            <v>19.59</v>
          </cell>
          <cell r="J250">
            <v>1353</v>
          </cell>
          <cell r="M250" t="str">
            <v>Калининский</v>
          </cell>
        </row>
        <row r="251">
          <cell r="A251">
            <v>10</v>
          </cell>
          <cell r="B251" t="str">
            <v>Прочие машины</v>
          </cell>
          <cell r="C251" t="str">
            <v>руб</v>
          </cell>
          <cell r="D251">
            <v>286</v>
          </cell>
          <cell r="E251">
            <v>1</v>
          </cell>
          <cell r="F251">
            <v>286</v>
          </cell>
          <cell r="G251">
            <v>20</v>
          </cell>
          <cell r="H251">
            <v>5713</v>
          </cell>
          <cell r="I251">
            <v>20</v>
          </cell>
          <cell r="J251">
            <v>5427</v>
          </cell>
          <cell r="M251" t="str">
            <v>Калининский</v>
          </cell>
        </row>
        <row r="252">
          <cell r="M252" t="str">
            <v>Калининский</v>
          </cell>
        </row>
        <row r="253">
          <cell r="A253" t="str">
            <v>100-1.3.</v>
          </cell>
          <cell r="B253" t="str">
            <v>Материалы</v>
          </cell>
          <cell r="F253">
            <v>146643</v>
          </cell>
          <cell r="H253">
            <v>4497076</v>
          </cell>
          <cell r="I253">
            <v>30.67</v>
          </cell>
          <cell r="J253">
            <v>4350433</v>
          </cell>
          <cell r="K253">
            <v>100</v>
          </cell>
          <cell r="L253" t="str">
            <v>1.3.</v>
          </cell>
          <cell r="M253" t="str">
            <v>Калининский</v>
          </cell>
        </row>
        <row r="254">
          <cell r="B254" t="str">
            <v>Материальные ресурсы по нормам СНиП</v>
          </cell>
          <cell r="F254">
            <v>117600</v>
          </cell>
          <cell r="H254">
            <v>3976231</v>
          </cell>
          <cell r="I254">
            <v>33.81</v>
          </cell>
          <cell r="J254">
            <v>3858631</v>
          </cell>
          <cell r="M254" t="str">
            <v>Калининский</v>
          </cell>
        </row>
        <row r="255">
          <cell r="A255">
            <v>1</v>
          </cell>
          <cell r="B255" t="str">
            <v>ПГС</v>
          </cell>
          <cell r="C255" t="str">
            <v>м3</v>
          </cell>
          <cell r="D255">
            <v>1823</v>
          </cell>
          <cell r="E255">
            <v>1.9</v>
          </cell>
          <cell r="F255">
            <v>3464</v>
          </cell>
          <cell r="G255">
            <v>40.57</v>
          </cell>
          <cell r="H255">
            <v>73959</v>
          </cell>
          <cell r="I255">
            <v>21.35</v>
          </cell>
          <cell r="J255">
            <v>70495</v>
          </cell>
          <cell r="M255" t="str">
            <v>Калининский</v>
          </cell>
        </row>
        <row r="256">
          <cell r="A256">
            <v>2</v>
          </cell>
          <cell r="B256" t="str">
            <v>Битум жидкий </v>
          </cell>
          <cell r="C256" t="str">
            <v>т</v>
          </cell>
          <cell r="D256">
            <v>20.6</v>
          </cell>
          <cell r="E256">
            <v>63.37</v>
          </cell>
          <cell r="F256">
            <v>1305</v>
          </cell>
          <cell r="G256">
            <v>3493.63</v>
          </cell>
          <cell r="H256">
            <v>71969</v>
          </cell>
          <cell r="I256">
            <v>55.13</v>
          </cell>
          <cell r="J256">
            <v>70663</v>
          </cell>
          <cell r="M256" t="str">
            <v>Калининский</v>
          </cell>
        </row>
        <row r="257">
          <cell r="A257">
            <v>3</v>
          </cell>
          <cell r="B257" t="str">
            <v>Битум вязкий</v>
          </cell>
          <cell r="C257" t="str">
            <v>т</v>
          </cell>
          <cell r="D257">
            <v>35.27</v>
          </cell>
          <cell r="E257">
            <v>65.88</v>
          </cell>
          <cell r="F257">
            <v>2324</v>
          </cell>
          <cell r="G257">
            <v>3528.4</v>
          </cell>
          <cell r="H257">
            <v>124447</v>
          </cell>
          <cell r="I257">
            <v>53.56</v>
          </cell>
          <cell r="J257">
            <v>122123</v>
          </cell>
          <cell r="M257" t="str">
            <v>Калининский</v>
          </cell>
        </row>
        <row r="258">
          <cell r="A258">
            <v>4</v>
          </cell>
          <cell r="B258" t="str">
            <v>М/з а/ бетонная смесь (выравн.сл)</v>
          </cell>
          <cell r="C258" t="str">
            <v>т</v>
          </cell>
          <cell r="D258">
            <v>1777</v>
          </cell>
          <cell r="E258">
            <v>14.84</v>
          </cell>
          <cell r="F258">
            <v>26371</v>
          </cell>
          <cell r="G258">
            <v>569.5</v>
          </cell>
          <cell r="H258">
            <v>1012002</v>
          </cell>
          <cell r="I258">
            <v>38.38</v>
          </cell>
          <cell r="J258">
            <v>985631</v>
          </cell>
          <cell r="M258" t="str">
            <v>Калининский</v>
          </cell>
        </row>
        <row r="259">
          <cell r="A259">
            <v>5</v>
          </cell>
          <cell r="B259" t="str">
            <v>черный щебень</v>
          </cell>
          <cell r="C259" t="str">
            <v>т</v>
          </cell>
          <cell r="D259">
            <v>980</v>
          </cell>
          <cell r="E259">
            <v>12.8</v>
          </cell>
          <cell r="F259">
            <v>12544</v>
          </cell>
          <cell r="G259">
            <v>372.88</v>
          </cell>
          <cell r="H259">
            <v>365422</v>
          </cell>
          <cell r="I259">
            <v>29.13</v>
          </cell>
          <cell r="J259">
            <v>352878</v>
          </cell>
          <cell r="M259" t="str">
            <v>Калининский</v>
          </cell>
        </row>
        <row r="260">
          <cell r="A260">
            <v>6</v>
          </cell>
          <cell r="B260" t="str">
            <v>М/з а/ бетонная смесь (слой покрытия)</v>
          </cell>
          <cell r="C260" t="str">
            <v>т</v>
          </cell>
          <cell r="D260">
            <v>4772</v>
          </cell>
          <cell r="E260">
            <v>14.84</v>
          </cell>
          <cell r="F260">
            <v>70816</v>
          </cell>
          <cell r="G260">
            <v>486.31</v>
          </cell>
          <cell r="H260">
            <v>2320671</v>
          </cell>
          <cell r="I260">
            <v>32.77</v>
          </cell>
          <cell r="J260">
            <v>2249855</v>
          </cell>
          <cell r="M260" t="str">
            <v>Калининский</v>
          </cell>
        </row>
        <row r="261">
          <cell r="A261">
            <v>7</v>
          </cell>
          <cell r="B261" t="str">
            <v>Прочие материалы</v>
          </cell>
          <cell r="C261" t="str">
            <v>руб</v>
          </cell>
          <cell r="D261">
            <v>776.13</v>
          </cell>
          <cell r="E261">
            <v>1</v>
          </cell>
          <cell r="F261">
            <v>776</v>
          </cell>
          <cell r="G261">
            <v>10</v>
          </cell>
          <cell r="H261">
            <v>7761</v>
          </cell>
          <cell r="I261">
            <v>10</v>
          </cell>
          <cell r="J261">
            <v>6985</v>
          </cell>
          <cell r="M261" t="str">
            <v>Калининский</v>
          </cell>
        </row>
        <row r="262">
          <cell r="A262">
            <v>8</v>
          </cell>
          <cell r="F262">
            <v>0</v>
          </cell>
          <cell r="H262">
            <v>0</v>
          </cell>
          <cell r="I262" t="e">
            <v>#DIV/0!</v>
          </cell>
          <cell r="J262">
            <v>0</v>
          </cell>
          <cell r="M262" t="str">
            <v>Калининский</v>
          </cell>
        </row>
        <row r="263">
          <cell r="A263">
            <v>9</v>
          </cell>
          <cell r="F263">
            <v>0</v>
          </cell>
          <cell r="H263">
            <v>0</v>
          </cell>
          <cell r="I263" t="e">
            <v>#DIV/0!</v>
          </cell>
          <cell r="J263">
            <v>0</v>
          </cell>
          <cell r="M263" t="str">
            <v>Калининский</v>
          </cell>
        </row>
        <row r="264">
          <cell r="A264">
            <v>10</v>
          </cell>
          <cell r="F264">
            <v>0</v>
          </cell>
          <cell r="H264">
            <v>0</v>
          </cell>
          <cell r="I264" t="e">
            <v>#DIV/0!</v>
          </cell>
          <cell r="J264">
            <v>0</v>
          </cell>
          <cell r="M264" t="str">
            <v>Калининский</v>
          </cell>
        </row>
        <row r="265">
          <cell r="M265" t="str">
            <v>Калининский</v>
          </cell>
        </row>
        <row r="266">
          <cell r="B266" t="str">
            <v>Транспортировка материалов, т (вид транспорта, км)</v>
          </cell>
          <cell r="F266">
            <v>29043</v>
          </cell>
          <cell r="H266">
            <v>520845</v>
          </cell>
          <cell r="I266">
            <v>17.93</v>
          </cell>
          <cell r="J266">
            <v>491802</v>
          </cell>
          <cell r="M266" t="str">
            <v>Калининский</v>
          </cell>
        </row>
        <row r="267">
          <cell r="A267">
            <v>1</v>
          </cell>
          <cell r="B267" t="str">
            <v>ПГС - 143 км</v>
          </cell>
          <cell r="C267" t="str">
            <v>т</v>
          </cell>
          <cell r="D267">
            <v>3281</v>
          </cell>
          <cell r="E267">
            <v>6.58</v>
          </cell>
          <cell r="F267">
            <v>21589</v>
          </cell>
          <cell r="G267">
            <v>141.26</v>
          </cell>
          <cell r="H267">
            <v>463474</v>
          </cell>
          <cell r="I267">
            <v>21.47</v>
          </cell>
          <cell r="J267">
            <v>441885</v>
          </cell>
          <cell r="M267" t="str">
            <v>Калининский</v>
          </cell>
        </row>
        <row r="268">
          <cell r="A268">
            <v>2</v>
          </cell>
          <cell r="B268" t="str">
            <v>Битум вязкий  46 км</v>
          </cell>
          <cell r="C268" t="str">
            <v>т</v>
          </cell>
          <cell r="D268">
            <v>35.27</v>
          </cell>
          <cell r="F268">
            <v>0</v>
          </cell>
          <cell r="H268">
            <v>0</v>
          </cell>
          <cell r="I268" t="e">
            <v>#DIV/0!</v>
          </cell>
          <cell r="J268">
            <v>0</v>
          </cell>
          <cell r="M268" t="str">
            <v>Калининский</v>
          </cell>
        </row>
        <row r="269">
          <cell r="A269">
            <v>3</v>
          </cell>
          <cell r="B269" t="str">
            <v>Битум жидкий-46 км</v>
          </cell>
          <cell r="C269" t="str">
            <v>т</v>
          </cell>
          <cell r="D269">
            <v>20.6</v>
          </cell>
          <cell r="F269">
            <v>0</v>
          </cell>
          <cell r="H269">
            <v>0</v>
          </cell>
          <cell r="I269" t="e">
            <v>#DIV/0!</v>
          </cell>
          <cell r="J269">
            <v>0</v>
          </cell>
          <cell r="M269" t="str">
            <v>Калининский</v>
          </cell>
        </row>
        <row r="270">
          <cell r="A270">
            <v>4</v>
          </cell>
          <cell r="B270" t="str">
            <v>М/з а/ бетонная смесь (выравн.сл)</v>
          </cell>
          <cell r="C270" t="str">
            <v>т</v>
          </cell>
          <cell r="D270">
            <v>1777</v>
          </cell>
          <cell r="E270">
            <v>0.99</v>
          </cell>
          <cell r="F270">
            <v>1759</v>
          </cell>
          <cell r="G270">
            <v>7.62</v>
          </cell>
          <cell r="H270">
            <v>13541</v>
          </cell>
          <cell r="I270">
            <v>7.7</v>
          </cell>
          <cell r="J270">
            <v>11782</v>
          </cell>
          <cell r="M270" t="str">
            <v>Калининский</v>
          </cell>
        </row>
        <row r="271">
          <cell r="A271">
            <v>5</v>
          </cell>
          <cell r="B271" t="str">
            <v>Черный щебень-6 км</v>
          </cell>
          <cell r="C271" t="str">
            <v>т</v>
          </cell>
          <cell r="D271">
            <v>980</v>
          </cell>
          <cell r="E271">
            <v>0.99</v>
          </cell>
          <cell r="F271">
            <v>970</v>
          </cell>
          <cell r="G271">
            <v>7.62</v>
          </cell>
          <cell r="H271">
            <v>7468</v>
          </cell>
          <cell r="I271">
            <v>7.7</v>
          </cell>
          <cell r="J271">
            <v>6497</v>
          </cell>
          <cell r="M271" t="str">
            <v>Калининский</v>
          </cell>
        </row>
        <row r="272">
          <cell r="A272">
            <v>6</v>
          </cell>
          <cell r="B272" t="str">
            <v>М/з а/ бетонная смесь (слой покрытия)</v>
          </cell>
          <cell r="C272" t="str">
            <v>т</v>
          </cell>
          <cell r="D272">
            <v>4772</v>
          </cell>
          <cell r="E272">
            <v>0.99</v>
          </cell>
          <cell r="F272">
            <v>4724</v>
          </cell>
          <cell r="G272">
            <v>7.62</v>
          </cell>
          <cell r="H272">
            <v>36363</v>
          </cell>
          <cell r="I272">
            <v>7.7</v>
          </cell>
          <cell r="J272">
            <v>31638</v>
          </cell>
          <cell r="M272" t="str">
            <v>Калининский</v>
          </cell>
        </row>
        <row r="273">
          <cell r="A273">
            <v>7</v>
          </cell>
          <cell r="C273" t="str">
            <v>т</v>
          </cell>
          <cell r="F273">
            <v>0</v>
          </cell>
          <cell r="H273">
            <v>0</v>
          </cell>
          <cell r="I273" t="e">
            <v>#DIV/0!</v>
          </cell>
          <cell r="J273">
            <v>0</v>
          </cell>
          <cell r="M273" t="str">
            <v>Калининский</v>
          </cell>
        </row>
        <row r="274">
          <cell r="A274">
            <v>8</v>
          </cell>
          <cell r="C274" t="str">
            <v>т</v>
          </cell>
          <cell r="F274">
            <v>0</v>
          </cell>
          <cell r="H274">
            <v>0</v>
          </cell>
          <cell r="I274" t="e">
            <v>#DIV/0!</v>
          </cell>
          <cell r="J274">
            <v>0</v>
          </cell>
          <cell r="M274" t="str">
            <v>Калининский</v>
          </cell>
        </row>
        <row r="275">
          <cell r="A275">
            <v>9</v>
          </cell>
          <cell r="C275" t="str">
            <v>т</v>
          </cell>
          <cell r="F275">
            <v>0</v>
          </cell>
          <cell r="H275">
            <v>0</v>
          </cell>
          <cell r="I275" t="e">
            <v>#DIV/0!</v>
          </cell>
          <cell r="J275">
            <v>0</v>
          </cell>
          <cell r="M275" t="str">
            <v>Калининский</v>
          </cell>
        </row>
        <row r="276">
          <cell r="A276">
            <v>10</v>
          </cell>
          <cell r="C276" t="str">
            <v>т</v>
          </cell>
          <cell r="F276">
            <v>0</v>
          </cell>
          <cell r="H276">
            <v>0</v>
          </cell>
          <cell r="I276" t="e">
            <v>#DIV/0!</v>
          </cell>
          <cell r="J276">
            <v>0</v>
          </cell>
          <cell r="M276" t="str">
            <v>Калининский</v>
          </cell>
        </row>
        <row r="277">
          <cell r="M277" t="str">
            <v>Калининский</v>
          </cell>
        </row>
        <row r="278">
          <cell r="B278" t="str">
            <v>Заготовительно-складские расходы</v>
          </cell>
          <cell r="F278">
            <v>0</v>
          </cell>
          <cell r="H278">
            <v>0</v>
          </cell>
          <cell r="I278" t="e">
            <v>#DIV/0!</v>
          </cell>
          <cell r="J278">
            <v>0</v>
          </cell>
          <cell r="M278" t="str">
            <v>Калининский</v>
          </cell>
        </row>
        <row r="279">
          <cell r="A279">
            <v>1</v>
          </cell>
          <cell r="B279" t="str">
            <v>ПГС</v>
          </cell>
          <cell r="C279" t="str">
            <v>руб</v>
          </cell>
          <cell r="E279">
            <v>25052.68</v>
          </cell>
          <cell r="F279">
            <v>0</v>
          </cell>
          <cell r="H279">
            <v>0</v>
          </cell>
          <cell r="I279" t="e">
            <v>#DIV/0!</v>
          </cell>
          <cell r="J279">
            <v>0</v>
          </cell>
          <cell r="M279" t="str">
            <v>Калининский</v>
          </cell>
        </row>
        <row r="280">
          <cell r="A280">
            <v>2</v>
          </cell>
          <cell r="B280" t="str">
            <v>Битум жидкий </v>
          </cell>
          <cell r="C280" t="str">
            <v>руб</v>
          </cell>
          <cell r="E280">
            <v>1305.42</v>
          </cell>
          <cell r="F280">
            <v>0</v>
          </cell>
          <cell r="H280">
            <v>0</v>
          </cell>
          <cell r="I280" t="e">
            <v>#DIV/0!</v>
          </cell>
          <cell r="J280">
            <v>0</v>
          </cell>
          <cell r="M280" t="str">
            <v>Калининский</v>
          </cell>
        </row>
        <row r="281">
          <cell r="A281">
            <v>3</v>
          </cell>
          <cell r="B281" t="str">
            <v>Битум вязкий</v>
          </cell>
          <cell r="C281" t="str">
            <v>руб</v>
          </cell>
          <cell r="E281">
            <v>2323.59</v>
          </cell>
          <cell r="F281">
            <v>0</v>
          </cell>
          <cell r="H281">
            <v>0</v>
          </cell>
          <cell r="I281" t="e">
            <v>#DIV/0!</v>
          </cell>
          <cell r="J281">
            <v>0</v>
          </cell>
          <cell r="M281" t="str">
            <v>Калининский</v>
          </cell>
        </row>
        <row r="282">
          <cell r="A282">
            <v>4</v>
          </cell>
          <cell r="B282" t="str">
            <v>М/з а/ бетонная смесь (выравн.сл)</v>
          </cell>
          <cell r="C282" t="str">
            <v>руб</v>
          </cell>
          <cell r="E282">
            <v>28129.91</v>
          </cell>
          <cell r="F282">
            <v>0</v>
          </cell>
          <cell r="H282">
            <v>0</v>
          </cell>
          <cell r="I282" t="e">
            <v>#DIV/0!</v>
          </cell>
          <cell r="J282">
            <v>0</v>
          </cell>
          <cell r="M282" t="str">
            <v>Калининский</v>
          </cell>
        </row>
        <row r="283">
          <cell r="A283">
            <v>5</v>
          </cell>
          <cell r="B283" t="str">
            <v>черный щебень</v>
          </cell>
          <cell r="C283" t="str">
            <v>руб</v>
          </cell>
          <cell r="E283">
            <v>13514.2</v>
          </cell>
          <cell r="F283">
            <v>0</v>
          </cell>
          <cell r="H283">
            <v>0</v>
          </cell>
          <cell r="I283" t="e">
            <v>#DIV/0!</v>
          </cell>
          <cell r="J283">
            <v>0</v>
          </cell>
          <cell r="M283" t="str">
            <v>Калининский</v>
          </cell>
        </row>
        <row r="284">
          <cell r="A284">
            <v>6</v>
          </cell>
          <cell r="B284" t="str">
            <v>М/з а/ бетонная смесь (слой покрытия)</v>
          </cell>
          <cell r="C284" t="str">
            <v>руб</v>
          </cell>
          <cell r="E284">
            <v>75540.76</v>
          </cell>
          <cell r="F284">
            <v>0</v>
          </cell>
          <cell r="H284">
            <v>0</v>
          </cell>
          <cell r="I284" t="e">
            <v>#DIV/0!</v>
          </cell>
          <cell r="J284">
            <v>0</v>
          </cell>
          <cell r="M284" t="str">
            <v>Калининский</v>
          </cell>
        </row>
        <row r="285">
          <cell r="A285">
            <v>7</v>
          </cell>
          <cell r="B285" t="str">
            <v>Прочие материалы</v>
          </cell>
          <cell r="C285" t="str">
            <v>руб</v>
          </cell>
          <cell r="E285">
            <v>776.13</v>
          </cell>
          <cell r="F285">
            <v>0</v>
          </cell>
          <cell r="H285">
            <v>0</v>
          </cell>
          <cell r="I285" t="e">
            <v>#DIV/0!</v>
          </cell>
          <cell r="J285">
            <v>0</v>
          </cell>
          <cell r="M285" t="str">
            <v>Калининский</v>
          </cell>
        </row>
        <row r="286">
          <cell r="A286">
            <v>8</v>
          </cell>
          <cell r="B286" t="str">
            <v>0</v>
          </cell>
          <cell r="C286" t="str">
            <v>руб</v>
          </cell>
          <cell r="E286">
            <v>0</v>
          </cell>
          <cell r="F286">
            <v>0</v>
          </cell>
          <cell r="H286">
            <v>0</v>
          </cell>
          <cell r="I286" t="e">
            <v>#DIV/0!</v>
          </cell>
          <cell r="J286">
            <v>0</v>
          </cell>
          <cell r="M286" t="str">
            <v>Калининский</v>
          </cell>
        </row>
        <row r="287">
          <cell r="A287">
            <v>9</v>
          </cell>
          <cell r="B287" t="str">
            <v>0</v>
          </cell>
          <cell r="C287" t="str">
            <v>руб</v>
          </cell>
          <cell r="E287">
            <v>0</v>
          </cell>
          <cell r="F287">
            <v>0</v>
          </cell>
          <cell r="H287">
            <v>0</v>
          </cell>
          <cell r="I287" t="e">
            <v>#DIV/0!</v>
          </cell>
          <cell r="J287">
            <v>0</v>
          </cell>
          <cell r="M287" t="str">
            <v>Калининский</v>
          </cell>
        </row>
        <row r="288">
          <cell r="A288">
            <v>10</v>
          </cell>
          <cell r="B288" t="str">
            <v>0</v>
          </cell>
          <cell r="C288" t="str">
            <v>руб</v>
          </cell>
          <cell r="E288">
            <v>0</v>
          </cell>
          <cell r="F288">
            <v>0</v>
          </cell>
          <cell r="H288">
            <v>0</v>
          </cell>
          <cell r="I288" t="e">
            <v>#DIV/0!</v>
          </cell>
          <cell r="J288">
            <v>0</v>
          </cell>
          <cell r="M288" t="str">
            <v>Калининский</v>
          </cell>
        </row>
        <row r="289">
          <cell r="M289" t="str">
            <v>Калининский</v>
          </cell>
        </row>
        <row r="290">
          <cell r="M290" t="str">
            <v>Калининский</v>
          </cell>
        </row>
        <row r="291">
          <cell r="B291" t="str">
            <v>Составил:______________________________</v>
          </cell>
          <cell r="M291" t="str">
            <v>Калининский</v>
          </cell>
        </row>
        <row r="292">
          <cell r="M292" t="str">
            <v>Калининский</v>
          </cell>
        </row>
        <row r="293">
          <cell r="B293" t="str">
            <v>Начальник ТДО: ________________________</v>
          </cell>
        </row>
        <row r="294">
          <cell r="B294" t="str">
            <v>Район: Калининский \ Тимашевск - Славянск-на-Кубани - Крымск ;  км: 26+900-27+300 (0,4 км) \ Устройство тротуаров и пешеходных дорожек</v>
          </cell>
          <cell r="K294">
            <v>101</v>
          </cell>
          <cell r="M294" t="str">
            <v>Калининский</v>
          </cell>
        </row>
        <row r="295">
          <cell r="A295" t="str">
            <v>101-1.1.</v>
          </cell>
          <cell r="B295" t="str">
            <v>Фонд заработной платы</v>
          </cell>
          <cell r="D295">
            <v>530</v>
          </cell>
          <cell r="F295">
            <v>375</v>
          </cell>
          <cell r="H295">
            <v>7515</v>
          </cell>
          <cell r="I295">
            <v>20</v>
          </cell>
          <cell r="J295">
            <v>7140</v>
          </cell>
          <cell r="K295">
            <v>101</v>
          </cell>
          <cell r="L295" t="str">
            <v>1.1.</v>
          </cell>
          <cell r="M295" t="str">
            <v>Калининский</v>
          </cell>
        </row>
        <row r="296">
          <cell r="A296" t="str">
            <v>101-1.1.1.</v>
          </cell>
          <cell r="B296" t="str">
            <v>Основные рабочие</v>
          </cell>
          <cell r="C296" t="str">
            <v>ч/ч</v>
          </cell>
          <cell r="D296">
            <v>498</v>
          </cell>
          <cell r="E296">
            <v>0.707</v>
          </cell>
          <cell r="F296">
            <v>352</v>
          </cell>
          <cell r="G296">
            <v>14.17</v>
          </cell>
          <cell r="H296">
            <v>7057</v>
          </cell>
          <cell r="I296">
            <v>20.05</v>
          </cell>
          <cell r="J296">
            <v>6705</v>
          </cell>
          <cell r="K296">
            <v>101</v>
          </cell>
          <cell r="L296" t="str">
            <v>1.1.1.</v>
          </cell>
          <cell r="M296" t="str">
            <v>Калининский</v>
          </cell>
        </row>
        <row r="297">
          <cell r="A297" t="str">
            <v>101-1.1.2.</v>
          </cell>
          <cell r="B297" t="str">
            <v>Машинисты</v>
          </cell>
          <cell r="C297" t="str">
            <v>ч/ч</v>
          </cell>
          <cell r="D297">
            <v>32</v>
          </cell>
          <cell r="E297">
            <v>0.719</v>
          </cell>
          <cell r="F297">
            <v>23</v>
          </cell>
          <cell r="G297">
            <v>14.31</v>
          </cell>
          <cell r="H297">
            <v>458</v>
          </cell>
          <cell r="I297">
            <v>19.91</v>
          </cell>
          <cell r="J297">
            <v>435</v>
          </cell>
          <cell r="K297">
            <v>101</v>
          </cell>
          <cell r="L297" t="str">
            <v>1.1.2.</v>
          </cell>
          <cell r="M297" t="str">
            <v>Калининский</v>
          </cell>
        </row>
        <row r="298">
          <cell r="M298" t="str">
            <v>Калининский</v>
          </cell>
        </row>
        <row r="299">
          <cell r="A299" t="str">
            <v>101-1.2.</v>
          </cell>
          <cell r="B299" t="str">
            <v>Технические ресурсы по нормам СНиП (без зарботной платы машиниста)</v>
          </cell>
          <cell r="F299">
            <v>52</v>
          </cell>
          <cell r="H299">
            <v>2082</v>
          </cell>
          <cell r="I299">
            <v>39.71</v>
          </cell>
          <cell r="J299">
            <v>2029</v>
          </cell>
          <cell r="K299">
            <v>101</v>
          </cell>
          <cell r="L299" t="str">
            <v>1.2.</v>
          </cell>
          <cell r="M299" t="str">
            <v>Калининский</v>
          </cell>
        </row>
        <row r="300">
          <cell r="A300">
            <v>1</v>
          </cell>
          <cell r="B300" t="str">
            <v>Автогрейдер средний</v>
          </cell>
          <cell r="C300" t="str">
            <v>м/ч</v>
          </cell>
          <cell r="D300">
            <v>0</v>
          </cell>
          <cell r="E300">
            <v>2.48</v>
          </cell>
          <cell r="F300">
            <v>1</v>
          </cell>
          <cell r="G300">
            <v>125.03</v>
          </cell>
          <cell r="H300">
            <v>31</v>
          </cell>
          <cell r="I300">
            <v>50.42</v>
          </cell>
          <cell r="J300">
            <v>31</v>
          </cell>
          <cell r="M300" t="str">
            <v>Калининский</v>
          </cell>
        </row>
        <row r="301">
          <cell r="A301">
            <v>2</v>
          </cell>
          <cell r="B301" t="str">
            <v>Бульдозер</v>
          </cell>
          <cell r="C301" t="str">
            <v>м/ч</v>
          </cell>
          <cell r="D301">
            <v>0</v>
          </cell>
          <cell r="E301">
            <v>2.3</v>
          </cell>
          <cell r="F301">
            <v>0</v>
          </cell>
          <cell r="G301">
            <v>113.86</v>
          </cell>
          <cell r="H301">
            <v>8</v>
          </cell>
          <cell r="I301">
            <v>49.5</v>
          </cell>
          <cell r="J301">
            <v>8</v>
          </cell>
          <cell r="M301" t="str">
            <v>Калининский</v>
          </cell>
        </row>
        <row r="302">
          <cell r="A302">
            <v>3</v>
          </cell>
          <cell r="B302" t="str">
            <v>Машина поливомоечная</v>
          </cell>
          <cell r="C302" t="str">
            <v>м/ч</v>
          </cell>
          <cell r="D302">
            <v>2</v>
          </cell>
          <cell r="E302">
            <v>6.16</v>
          </cell>
          <cell r="F302">
            <v>12</v>
          </cell>
          <cell r="G302">
            <v>197.6</v>
          </cell>
          <cell r="H302">
            <v>391</v>
          </cell>
          <cell r="I302">
            <v>32.08</v>
          </cell>
          <cell r="J302">
            <v>379</v>
          </cell>
          <cell r="M302" t="str">
            <v>Калининский</v>
          </cell>
        </row>
        <row r="303">
          <cell r="A303">
            <v>4</v>
          </cell>
          <cell r="B303" t="str">
            <v>Каток  самоходный гладкий 5 тн </v>
          </cell>
          <cell r="C303" t="str">
            <v>м/ч</v>
          </cell>
          <cell r="D303">
            <v>5</v>
          </cell>
          <cell r="E303">
            <v>1.81</v>
          </cell>
          <cell r="F303">
            <v>10</v>
          </cell>
          <cell r="G303">
            <v>80.16</v>
          </cell>
          <cell r="H303">
            <v>422</v>
          </cell>
          <cell r="I303">
            <v>44.29</v>
          </cell>
          <cell r="J303">
            <v>412</v>
          </cell>
          <cell r="M303" t="str">
            <v>Калининский</v>
          </cell>
        </row>
        <row r="304">
          <cell r="A304">
            <v>5</v>
          </cell>
          <cell r="B304" t="str">
            <v>Экскаватор </v>
          </cell>
          <cell r="C304" t="str">
            <v>м/ч</v>
          </cell>
          <cell r="D304">
            <v>0</v>
          </cell>
          <cell r="E304">
            <v>2.72</v>
          </cell>
          <cell r="F304">
            <v>0</v>
          </cell>
          <cell r="G304">
            <v>103.25</v>
          </cell>
          <cell r="H304">
            <v>9</v>
          </cell>
          <cell r="I304">
            <v>37.96</v>
          </cell>
          <cell r="J304">
            <v>9</v>
          </cell>
          <cell r="M304" t="str">
            <v>Калининский</v>
          </cell>
        </row>
        <row r="305">
          <cell r="A305">
            <v>6</v>
          </cell>
          <cell r="B305" t="str">
            <v>Машина бурильно-крановая</v>
          </cell>
          <cell r="C305" t="str">
            <v>м/ч</v>
          </cell>
          <cell r="D305">
            <v>3</v>
          </cell>
          <cell r="E305">
            <v>2.41</v>
          </cell>
          <cell r="F305">
            <v>6</v>
          </cell>
          <cell r="G305">
            <v>129.45</v>
          </cell>
          <cell r="H305">
            <v>344</v>
          </cell>
          <cell r="I305">
            <v>53.71</v>
          </cell>
          <cell r="J305">
            <v>338</v>
          </cell>
          <cell r="M305" t="str">
            <v>Калининский</v>
          </cell>
        </row>
        <row r="306">
          <cell r="A306">
            <v>7</v>
          </cell>
          <cell r="B306" t="str">
            <v>Автокран 3т</v>
          </cell>
          <cell r="C306" t="str">
            <v>м/ч</v>
          </cell>
          <cell r="D306">
            <v>6</v>
          </cell>
          <cell r="E306">
            <v>4.01</v>
          </cell>
          <cell r="F306">
            <v>23</v>
          </cell>
          <cell r="G306">
            <v>152.22</v>
          </cell>
          <cell r="H306">
            <v>868</v>
          </cell>
          <cell r="I306">
            <v>37.96</v>
          </cell>
          <cell r="J306">
            <v>845</v>
          </cell>
          <cell r="M306" t="str">
            <v>Калининский</v>
          </cell>
        </row>
        <row r="307">
          <cell r="A307">
            <v>8</v>
          </cell>
          <cell r="B307" t="str">
            <v>Прочие машины</v>
          </cell>
          <cell r="C307" t="str">
            <v>руб</v>
          </cell>
          <cell r="D307">
            <v>0</v>
          </cell>
          <cell r="E307">
            <v>1</v>
          </cell>
          <cell r="F307">
            <v>0</v>
          </cell>
          <cell r="G307">
            <v>20</v>
          </cell>
          <cell r="H307">
            <v>8</v>
          </cell>
          <cell r="I307">
            <v>20</v>
          </cell>
          <cell r="J307">
            <v>8</v>
          </cell>
          <cell r="M307" t="str">
            <v>Калининский</v>
          </cell>
        </row>
        <row r="308">
          <cell r="A308">
            <v>9</v>
          </cell>
          <cell r="F308">
            <v>0</v>
          </cell>
          <cell r="H308">
            <v>0</v>
          </cell>
          <cell r="I308" t="e">
            <v>#DIV/0!</v>
          </cell>
          <cell r="J308">
            <v>0</v>
          </cell>
          <cell r="M308" t="str">
            <v>Калининский</v>
          </cell>
        </row>
        <row r="309">
          <cell r="A309">
            <v>10</v>
          </cell>
          <cell r="F309">
            <v>0</v>
          </cell>
          <cell r="H309">
            <v>0</v>
          </cell>
          <cell r="I309" t="e">
            <v>#DIV/0!</v>
          </cell>
          <cell r="J309">
            <v>0</v>
          </cell>
          <cell r="M309" t="str">
            <v>Калининский</v>
          </cell>
        </row>
        <row r="310">
          <cell r="M310" t="str">
            <v>Калининский</v>
          </cell>
        </row>
        <row r="311">
          <cell r="A311" t="str">
            <v>101-1.3.</v>
          </cell>
          <cell r="B311" t="str">
            <v>Материалы</v>
          </cell>
          <cell r="F311">
            <v>2437</v>
          </cell>
          <cell r="H311">
            <v>79047</v>
          </cell>
          <cell r="I311">
            <v>32.43</v>
          </cell>
          <cell r="J311">
            <v>76610</v>
          </cell>
          <cell r="K311">
            <v>101</v>
          </cell>
          <cell r="L311" t="str">
            <v>1.3.</v>
          </cell>
          <cell r="M311" t="str">
            <v>Калининский</v>
          </cell>
        </row>
        <row r="312">
          <cell r="B312" t="str">
            <v>Материальные ресурсы по нормам СНиП</v>
          </cell>
          <cell r="F312">
            <v>1654</v>
          </cell>
          <cell r="H312">
            <v>60802</v>
          </cell>
          <cell r="I312">
            <v>36.75</v>
          </cell>
          <cell r="J312">
            <v>59147</v>
          </cell>
          <cell r="M312" t="str">
            <v>Калининский</v>
          </cell>
        </row>
        <row r="313">
          <cell r="A313">
            <v>1</v>
          </cell>
          <cell r="B313" t="str">
            <v>ПГС</v>
          </cell>
          <cell r="C313" t="str">
            <v>м3</v>
          </cell>
          <cell r="D313">
            <v>54</v>
          </cell>
          <cell r="E313">
            <v>1.9</v>
          </cell>
          <cell r="F313">
            <v>103</v>
          </cell>
          <cell r="G313">
            <v>40.57</v>
          </cell>
          <cell r="H313">
            <v>2191</v>
          </cell>
          <cell r="I313">
            <v>21.35</v>
          </cell>
          <cell r="J313">
            <v>2088</v>
          </cell>
          <cell r="M313" t="str">
            <v>Калининский</v>
          </cell>
        </row>
        <row r="314">
          <cell r="A314">
            <v>2</v>
          </cell>
          <cell r="B314" t="str">
            <v>М/з а/б смесь</v>
          </cell>
          <cell r="C314" t="str">
            <v>т</v>
          </cell>
          <cell r="D314">
            <v>25.7</v>
          </cell>
          <cell r="E314">
            <v>13.8</v>
          </cell>
          <cell r="F314">
            <v>355</v>
          </cell>
          <cell r="G314">
            <v>569.5</v>
          </cell>
          <cell r="H314">
            <v>14636</v>
          </cell>
          <cell r="I314">
            <v>41.27</v>
          </cell>
          <cell r="J314">
            <v>14281</v>
          </cell>
          <cell r="M314" t="str">
            <v>Калининский</v>
          </cell>
        </row>
        <row r="315">
          <cell r="A315">
            <v>3</v>
          </cell>
          <cell r="B315" t="str">
            <v>Бортовой камень Бр 100.30.18</v>
          </cell>
          <cell r="C315" t="str">
            <v>м3</v>
          </cell>
          <cell r="D315">
            <v>5.4</v>
          </cell>
          <cell r="E315">
            <v>43.6</v>
          </cell>
          <cell r="F315">
            <v>235</v>
          </cell>
          <cell r="G315">
            <v>1333.33</v>
          </cell>
          <cell r="H315">
            <v>7200</v>
          </cell>
          <cell r="I315">
            <v>30.58</v>
          </cell>
          <cell r="J315">
            <v>6965</v>
          </cell>
          <cell r="M315" t="str">
            <v>Калининский</v>
          </cell>
        </row>
        <row r="316">
          <cell r="A316">
            <v>4</v>
          </cell>
          <cell r="B316" t="str">
            <v>Бортовой камень Бр 100.20.8</v>
          </cell>
          <cell r="C316" t="str">
            <v>м3</v>
          </cell>
          <cell r="D316">
            <v>1.6</v>
          </cell>
          <cell r="E316">
            <v>49.4</v>
          </cell>
          <cell r="F316">
            <v>79</v>
          </cell>
          <cell r="G316">
            <v>1333.33</v>
          </cell>
          <cell r="H316">
            <v>2133</v>
          </cell>
          <cell r="I316">
            <v>26.99</v>
          </cell>
          <cell r="J316">
            <v>2054</v>
          </cell>
          <cell r="M316" t="str">
            <v>Калининский</v>
          </cell>
        </row>
        <row r="317">
          <cell r="A317">
            <v>5</v>
          </cell>
          <cell r="B317" t="str">
            <v>Барьерное ограждение</v>
          </cell>
          <cell r="C317" t="str">
            <v>т</v>
          </cell>
          <cell r="D317">
            <v>1.8</v>
          </cell>
          <cell r="E317">
            <v>432.5</v>
          </cell>
          <cell r="F317">
            <v>779</v>
          </cell>
          <cell r="G317">
            <v>17955</v>
          </cell>
          <cell r="H317">
            <v>32319</v>
          </cell>
          <cell r="I317">
            <v>41.51</v>
          </cell>
          <cell r="J317">
            <v>31541</v>
          </cell>
          <cell r="M317" t="str">
            <v>Калининский</v>
          </cell>
        </row>
        <row r="318">
          <cell r="A318">
            <v>6</v>
          </cell>
          <cell r="B318" t="str">
            <v>Бетон М 100</v>
          </cell>
          <cell r="C318" t="str">
            <v>м3</v>
          </cell>
          <cell r="D318">
            <v>3</v>
          </cell>
          <cell r="E318">
            <v>16.53</v>
          </cell>
          <cell r="F318">
            <v>50</v>
          </cell>
          <cell r="G318">
            <v>525</v>
          </cell>
          <cell r="H318">
            <v>1575</v>
          </cell>
          <cell r="I318">
            <v>31.76</v>
          </cell>
          <cell r="J318">
            <v>1525</v>
          </cell>
          <cell r="M318" t="str">
            <v>Калининский</v>
          </cell>
        </row>
        <row r="319">
          <cell r="A319">
            <v>7</v>
          </cell>
          <cell r="B319" t="str">
            <v>Краска масляная</v>
          </cell>
          <cell r="C319" t="str">
            <v>кг</v>
          </cell>
          <cell r="D319">
            <v>18</v>
          </cell>
          <cell r="E319">
            <v>1.8</v>
          </cell>
          <cell r="F319">
            <v>32</v>
          </cell>
          <cell r="G319">
            <v>29.17</v>
          </cell>
          <cell r="H319">
            <v>525</v>
          </cell>
          <cell r="I319">
            <v>16.21</v>
          </cell>
          <cell r="J319">
            <v>493</v>
          </cell>
          <cell r="M319" t="str">
            <v>Калининский</v>
          </cell>
        </row>
        <row r="320">
          <cell r="A320">
            <v>8</v>
          </cell>
          <cell r="B320" t="str">
            <v>Прочие материалы</v>
          </cell>
          <cell r="C320" t="str">
            <v>руб</v>
          </cell>
          <cell r="D320">
            <v>22.22</v>
          </cell>
          <cell r="E320">
            <v>1</v>
          </cell>
          <cell r="F320">
            <v>22</v>
          </cell>
          <cell r="G320">
            <v>10</v>
          </cell>
          <cell r="H320">
            <v>222</v>
          </cell>
          <cell r="I320">
            <v>10</v>
          </cell>
          <cell r="J320">
            <v>200</v>
          </cell>
          <cell r="M320" t="str">
            <v>Калининский</v>
          </cell>
        </row>
        <row r="321">
          <cell r="A321">
            <v>9</v>
          </cell>
          <cell r="F321">
            <v>0</v>
          </cell>
          <cell r="H321">
            <v>0</v>
          </cell>
          <cell r="I321" t="e">
            <v>#DIV/0!</v>
          </cell>
          <cell r="J321">
            <v>0</v>
          </cell>
          <cell r="M321" t="str">
            <v>Калининский</v>
          </cell>
        </row>
        <row r="322">
          <cell r="A322">
            <v>10</v>
          </cell>
          <cell r="F322">
            <v>0</v>
          </cell>
          <cell r="H322">
            <v>0</v>
          </cell>
          <cell r="I322" t="e">
            <v>#DIV/0!</v>
          </cell>
          <cell r="J322">
            <v>0</v>
          </cell>
          <cell r="M322" t="str">
            <v>Калининский</v>
          </cell>
        </row>
        <row r="323">
          <cell r="M323" t="str">
            <v>Калининский</v>
          </cell>
        </row>
        <row r="324">
          <cell r="B324" t="str">
            <v>Транспортировка материалов, т (вид транспорта, км)</v>
          </cell>
          <cell r="F324">
            <v>783</v>
          </cell>
          <cell r="H324">
            <v>18245</v>
          </cell>
          <cell r="I324">
            <v>23.31</v>
          </cell>
          <cell r="J324">
            <v>17463</v>
          </cell>
          <cell r="M324" t="str">
            <v>Калининский</v>
          </cell>
        </row>
        <row r="325">
          <cell r="A325">
            <v>1</v>
          </cell>
          <cell r="B325" t="str">
            <v>ПГС  139 км</v>
          </cell>
          <cell r="C325" t="str">
            <v>т</v>
          </cell>
          <cell r="D325">
            <v>97.2</v>
          </cell>
          <cell r="E325">
            <v>6.27</v>
          </cell>
          <cell r="F325">
            <v>609</v>
          </cell>
          <cell r="G325">
            <v>136.4</v>
          </cell>
          <cell r="H325">
            <v>13258</v>
          </cell>
          <cell r="I325">
            <v>21.75</v>
          </cell>
          <cell r="J325">
            <v>12649</v>
          </cell>
          <cell r="M325" t="str">
            <v>Калининский</v>
          </cell>
        </row>
        <row r="326">
          <cell r="A326">
            <v>2</v>
          </cell>
          <cell r="B326" t="str">
            <v>М/з а/б смесь 2 км</v>
          </cell>
          <cell r="C326" t="str">
            <v>т</v>
          </cell>
          <cell r="D326">
            <v>25.7</v>
          </cell>
          <cell r="E326">
            <v>0.36</v>
          </cell>
          <cell r="F326">
            <v>9</v>
          </cell>
          <cell r="G326">
            <v>1.06</v>
          </cell>
          <cell r="H326">
            <v>27</v>
          </cell>
          <cell r="I326">
            <v>2.94</v>
          </cell>
          <cell r="J326">
            <v>18</v>
          </cell>
          <cell r="M326" t="str">
            <v>Калининский</v>
          </cell>
        </row>
        <row r="327">
          <cell r="A327">
            <v>3</v>
          </cell>
          <cell r="B327" t="str">
            <v>Бортовой камень Бр 100.30.18  222 км</v>
          </cell>
          <cell r="C327" t="str">
            <v>т</v>
          </cell>
          <cell r="D327">
            <v>13.5</v>
          </cell>
          <cell r="E327">
            <v>8.72</v>
          </cell>
          <cell r="F327">
            <v>118</v>
          </cell>
          <cell r="G327">
            <v>271.65</v>
          </cell>
          <cell r="H327">
            <v>3667</v>
          </cell>
          <cell r="I327">
            <v>31.15</v>
          </cell>
          <cell r="J327">
            <v>3550</v>
          </cell>
          <cell r="M327" t="str">
            <v>Калининский</v>
          </cell>
        </row>
        <row r="328">
          <cell r="A328">
            <v>4</v>
          </cell>
          <cell r="B328" t="str">
            <v>Бортовой камень Бр 100.20.8  222 км</v>
          </cell>
          <cell r="C328" t="str">
            <v>т</v>
          </cell>
          <cell r="D328">
            <v>4.12</v>
          </cell>
          <cell r="E328">
            <v>8.72</v>
          </cell>
          <cell r="F328">
            <v>36</v>
          </cell>
          <cell r="G328">
            <v>271.65</v>
          </cell>
          <cell r="H328">
            <v>1118</v>
          </cell>
          <cell r="I328">
            <v>31.15</v>
          </cell>
          <cell r="J328">
            <v>1082</v>
          </cell>
          <cell r="M328" t="str">
            <v>Калининский</v>
          </cell>
        </row>
        <row r="329">
          <cell r="A329">
            <v>5</v>
          </cell>
          <cell r="B329" t="str">
            <v>Барьерное ограждение 82 км</v>
          </cell>
          <cell r="C329" t="str">
            <v>т</v>
          </cell>
          <cell r="D329">
            <v>1.8</v>
          </cell>
          <cell r="E329">
            <v>4.74</v>
          </cell>
          <cell r="F329">
            <v>9</v>
          </cell>
          <cell r="G329">
            <v>97.2</v>
          </cell>
          <cell r="H329">
            <v>175</v>
          </cell>
          <cell r="I329">
            <v>20.51</v>
          </cell>
          <cell r="J329">
            <v>166</v>
          </cell>
          <cell r="M329" t="str">
            <v>Калининский</v>
          </cell>
        </row>
        <row r="330">
          <cell r="A330">
            <v>6</v>
          </cell>
          <cell r="B330" t="str">
            <v>Бетон М 100    2 км</v>
          </cell>
          <cell r="C330" t="str">
            <v>м3</v>
          </cell>
          <cell r="D330">
            <v>3</v>
          </cell>
          <cell r="E330">
            <v>0.65</v>
          </cell>
          <cell r="F330">
            <v>2</v>
          </cell>
          <cell r="H330">
            <v>0</v>
          </cell>
          <cell r="I330">
            <v>0</v>
          </cell>
          <cell r="J330">
            <v>-2</v>
          </cell>
          <cell r="M330" t="str">
            <v>Калининский</v>
          </cell>
        </row>
        <row r="331">
          <cell r="A331">
            <v>7</v>
          </cell>
          <cell r="B331" t="str">
            <v>Краска масляная</v>
          </cell>
          <cell r="C331" t="str">
            <v>кг</v>
          </cell>
          <cell r="D331">
            <v>18</v>
          </cell>
          <cell r="F331">
            <v>0</v>
          </cell>
          <cell r="H331">
            <v>0</v>
          </cell>
          <cell r="I331" t="e">
            <v>#DIV/0!</v>
          </cell>
          <cell r="J331">
            <v>0</v>
          </cell>
          <cell r="M331" t="str">
            <v>Калининский</v>
          </cell>
        </row>
        <row r="332">
          <cell r="A332">
            <v>8</v>
          </cell>
          <cell r="C332" t="str">
            <v>т</v>
          </cell>
          <cell r="F332">
            <v>0</v>
          </cell>
          <cell r="H332">
            <v>0</v>
          </cell>
          <cell r="I332" t="e">
            <v>#DIV/0!</v>
          </cell>
          <cell r="J332">
            <v>0</v>
          </cell>
          <cell r="M332" t="str">
            <v>Калининский</v>
          </cell>
        </row>
        <row r="333">
          <cell r="A333">
            <v>9</v>
          </cell>
          <cell r="C333" t="str">
            <v>т</v>
          </cell>
          <cell r="F333">
            <v>0</v>
          </cell>
          <cell r="H333">
            <v>0</v>
          </cell>
          <cell r="I333" t="e">
            <v>#DIV/0!</v>
          </cell>
          <cell r="J333">
            <v>0</v>
          </cell>
          <cell r="M333" t="str">
            <v>Калининский</v>
          </cell>
        </row>
        <row r="334">
          <cell r="A334">
            <v>10</v>
          </cell>
          <cell r="C334" t="str">
            <v>т</v>
          </cell>
          <cell r="F334">
            <v>0</v>
          </cell>
          <cell r="H334">
            <v>0</v>
          </cell>
          <cell r="I334" t="e">
            <v>#DIV/0!</v>
          </cell>
          <cell r="J334">
            <v>0</v>
          </cell>
          <cell r="M334" t="str">
            <v>Калининский</v>
          </cell>
        </row>
        <row r="335">
          <cell r="M335" t="str">
            <v>Калининский</v>
          </cell>
        </row>
        <row r="336">
          <cell r="B336" t="str">
            <v>Заготовительно-складские расходы</v>
          </cell>
          <cell r="F336">
            <v>0</v>
          </cell>
          <cell r="H336">
            <v>0</v>
          </cell>
          <cell r="I336" t="e">
            <v>#DIV/0!</v>
          </cell>
          <cell r="J336">
            <v>0</v>
          </cell>
          <cell r="M336" t="str">
            <v>Калининский</v>
          </cell>
        </row>
        <row r="337">
          <cell r="A337">
            <v>1</v>
          </cell>
          <cell r="B337" t="str">
            <v>ПГС</v>
          </cell>
          <cell r="C337" t="str">
            <v>руб</v>
          </cell>
          <cell r="E337">
            <v>712.04</v>
          </cell>
          <cell r="F337">
            <v>0</v>
          </cell>
          <cell r="H337">
            <v>0</v>
          </cell>
          <cell r="I337" t="e">
            <v>#DIV/0!</v>
          </cell>
          <cell r="J337">
            <v>0</v>
          </cell>
          <cell r="M337" t="str">
            <v>Калининский</v>
          </cell>
        </row>
        <row r="338">
          <cell r="A338">
            <v>2</v>
          </cell>
          <cell r="B338" t="str">
            <v>М/з а/б смесь</v>
          </cell>
          <cell r="C338" t="str">
            <v>руб</v>
          </cell>
          <cell r="E338">
            <v>363.91</v>
          </cell>
          <cell r="F338">
            <v>0</v>
          </cell>
          <cell r="H338">
            <v>0</v>
          </cell>
          <cell r="I338" t="e">
            <v>#DIV/0!</v>
          </cell>
          <cell r="J338">
            <v>0</v>
          </cell>
          <cell r="M338" t="str">
            <v>Калининский</v>
          </cell>
        </row>
        <row r="339">
          <cell r="A339">
            <v>3</v>
          </cell>
          <cell r="B339" t="str">
            <v>Бортовой камень Бр 100.30.18</v>
          </cell>
          <cell r="C339" t="str">
            <v>руб</v>
          </cell>
          <cell r="E339">
            <v>353.19</v>
          </cell>
          <cell r="F339">
            <v>0</v>
          </cell>
          <cell r="H339">
            <v>0</v>
          </cell>
          <cell r="I339" t="e">
            <v>#DIV/0!</v>
          </cell>
          <cell r="J339">
            <v>0</v>
          </cell>
          <cell r="M339" t="str">
            <v>Калининский</v>
          </cell>
        </row>
        <row r="340">
          <cell r="A340">
            <v>4</v>
          </cell>
          <cell r="B340" t="str">
            <v>Бортовой камень Бр 100.20.8</v>
          </cell>
          <cell r="C340" t="str">
            <v>руб</v>
          </cell>
          <cell r="E340">
            <v>114.93</v>
          </cell>
          <cell r="F340">
            <v>0</v>
          </cell>
          <cell r="H340">
            <v>0</v>
          </cell>
          <cell r="I340" t="e">
            <v>#DIV/0!</v>
          </cell>
          <cell r="J340">
            <v>0</v>
          </cell>
          <cell r="M340" t="str">
            <v>Калининский</v>
          </cell>
        </row>
        <row r="341">
          <cell r="A341">
            <v>5</v>
          </cell>
          <cell r="B341" t="str">
            <v>Барьерное ограждение</v>
          </cell>
          <cell r="C341" t="str">
            <v>руб</v>
          </cell>
          <cell r="E341">
            <v>787.03</v>
          </cell>
          <cell r="F341">
            <v>0</v>
          </cell>
          <cell r="H341">
            <v>0</v>
          </cell>
          <cell r="I341" t="e">
            <v>#DIV/0!</v>
          </cell>
          <cell r="J341">
            <v>0</v>
          </cell>
          <cell r="M341" t="str">
            <v>Калининский</v>
          </cell>
        </row>
        <row r="342">
          <cell r="A342">
            <v>6</v>
          </cell>
          <cell r="B342" t="str">
            <v>Бетон М 100</v>
          </cell>
          <cell r="C342" t="str">
            <v>руб</v>
          </cell>
          <cell r="E342">
            <v>51.54</v>
          </cell>
          <cell r="F342">
            <v>0</v>
          </cell>
          <cell r="H342">
            <v>0</v>
          </cell>
          <cell r="I342" t="e">
            <v>#DIV/0!</v>
          </cell>
          <cell r="J342">
            <v>0</v>
          </cell>
          <cell r="M342" t="str">
            <v>Калининский</v>
          </cell>
        </row>
        <row r="343">
          <cell r="A343">
            <v>7</v>
          </cell>
          <cell r="B343" t="str">
            <v>Краска масляная</v>
          </cell>
          <cell r="C343" t="str">
            <v>руб</v>
          </cell>
          <cell r="E343">
            <v>32.4</v>
          </cell>
          <cell r="F343">
            <v>0</v>
          </cell>
          <cell r="H343">
            <v>0</v>
          </cell>
          <cell r="I343" t="e">
            <v>#DIV/0!</v>
          </cell>
          <cell r="J343">
            <v>0</v>
          </cell>
          <cell r="M343" t="str">
            <v>Калининский</v>
          </cell>
        </row>
        <row r="344">
          <cell r="A344">
            <v>8</v>
          </cell>
          <cell r="B344" t="str">
            <v>Прочие материалы</v>
          </cell>
          <cell r="C344" t="str">
            <v>руб</v>
          </cell>
          <cell r="E344">
            <v>22.22</v>
          </cell>
          <cell r="F344">
            <v>0</v>
          </cell>
          <cell r="H344">
            <v>0</v>
          </cell>
          <cell r="I344" t="e">
            <v>#DIV/0!</v>
          </cell>
          <cell r="J344">
            <v>0</v>
          </cell>
          <cell r="M344" t="str">
            <v>Калининский</v>
          </cell>
        </row>
        <row r="345">
          <cell r="A345">
            <v>9</v>
          </cell>
          <cell r="B345" t="str">
            <v>0</v>
          </cell>
          <cell r="C345" t="str">
            <v>руб</v>
          </cell>
          <cell r="E345">
            <v>0</v>
          </cell>
          <cell r="F345">
            <v>0</v>
          </cell>
          <cell r="H345">
            <v>0</v>
          </cell>
          <cell r="I345" t="e">
            <v>#DIV/0!</v>
          </cell>
          <cell r="J345">
            <v>0</v>
          </cell>
          <cell r="M345" t="str">
            <v>Калининский</v>
          </cell>
        </row>
        <row r="346">
          <cell r="A346">
            <v>10</v>
          </cell>
          <cell r="B346" t="str">
            <v>0</v>
          </cell>
          <cell r="C346" t="str">
            <v>руб</v>
          </cell>
          <cell r="E346">
            <v>0</v>
          </cell>
          <cell r="F346">
            <v>0</v>
          </cell>
          <cell r="H346">
            <v>0</v>
          </cell>
          <cell r="I346" t="e">
            <v>#DIV/0!</v>
          </cell>
          <cell r="J346">
            <v>0</v>
          </cell>
          <cell r="M346" t="str">
            <v>Калининский</v>
          </cell>
        </row>
        <row r="347">
          <cell r="M347" t="str">
            <v>Калининский</v>
          </cell>
        </row>
        <row r="348">
          <cell r="M348" t="str">
            <v>Калининский</v>
          </cell>
        </row>
        <row r="349">
          <cell r="B349" t="str">
            <v>Составил:______________________________</v>
          </cell>
          <cell r="M349" t="str">
            <v>Калининский</v>
          </cell>
        </row>
        <row r="350">
          <cell r="M350" t="str">
            <v>Калининский</v>
          </cell>
        </row>
        <row r="351">
          <cell r="B351" t="str">
            <v>Начальник ТДО: ________________________</v>
          </cell>
        </row>
        <row r="352">
          <cell r="B352" t="str">
            <v>Район: Калининский \ Обход ст.Калининская ;  км: 2+500-4+500 (2 км) \ Устройство тротуаров и пешеходных дорожек</v>
          </cell>
          <cell r="K352">
            <v>102</v>
          </cell>
          <cell r="M352" t="str">
            <v>Калининский</v>
          </cell>
        </row>
        <row r="353">
          <cell r="A353" t="str">
            <v>102-1.1.</v>
          </cell>
          <cell r="B353" t="str">
            <v>Фонд заработной платы</v>
          </cell>
          <cell r="D353">
            <v>531</v>
          </cell>
          <cell r="F353">
            <v>376</v>
          </cell>
          <cell r="H353">
            <v>7551</v>
          </cell>
          <cell r="I353">
            <v>20</v>
          </cell>
          <cell r="J353">
            <v>7175</v>
          </cell>
          <cell r="K353">
            <v>102</v>
          </cell>
          <cell r="L353" t="str">
            <v>1.1.</v>
          </cell>
          <cell r="M353" t="str">
            <v>Калининский</v>
          </cell>
        </row>
        <row r="354">
          <cell r="A354" t="str">
            <v>102-1.1.1.</v>
          </cell>
          <cell r="B354" t="str">
            <v>Основные рабочие</v>
          </cell>
          <cell r="C354" t="str">
            <v>ч/ч</v>
          </cell>
          <cell r="D354">
            <v>337</v>
          </cell>
          <cell r="E354">
            <v>0.706</v>
          </cell>
          <cell r="F354">
            <v>238</v>
          </cell>
          <cell r="G354">
            <v>14.17</v>
          </cell>
          <cell r="H354">
            <v>4775</v>
          </cell>
          <cell r="I354">
            <v>20.06</v>
          </cell>
          <cell r="J354">
            <v>4537</v>
          </cell>
          <cell r="K354">
            <v>102</v>
          </cell>
          <cell r="L354" t="str">
            <v>1.1.1.</v>
          </cell>
          <cell r="M354" t="str">
            <v>Калининский</v>
          </cell>
        </row>
        <row r="355">
          <cell r="A355" t="str">
            <v>102-1.1.2.</v>
          </cell>
          <cell r="B355" t="str">
            <v>Машинисты</v>
          </cell>
          <cell r="C355" t="str">
            <v>ч/ч</v>
          </cell>
          <cell r="D355">
            <v>194</v>
          </cell>
          <cell r="E355">
            <v>0.711</v>
          </cell>
          <cell r="F355">
            <v>138</v>
          </cell>
          <cell r="G355">
            <v>14.31</v>
          </cell>
          <cell r="H355">
            <v>2776</v>
          </cell>
          <cell r="I355">
            <v>20.12</v>
          </cell>
          <cell r="J355">
            <v>2638</v>
          </cell>
          <cell r="K355">
            <v>102</v>
          </cell>
          <cell r="L355" t="str">
            <v>1.1.2.</v>
          </cell>
          <cell r="M355" t="str">
            <v>Калининский</v>
          </cell>
        </row>
        <row r="356">
          <cell r="M356" t="str">
            <v>Калининский</v>
          </cell>
        </row>
        <row r="357">
          <cell r="A357" t="str">
            <v>102-1.2.</v>
          </cell>
          <cell r="B357" t="str">
            <v>Технические ресурсы по нормам СНиП (без зарботной платы машиниста)</v>
          </cell>
          <cell r="F357">
            <v>208</v>
          </cell>
          <cell r="H357">
            <v>7668</v>
          </cell>
          <cell r="I357">
            <v>36.82</v>
          </cell>
          <cell r="J357">
            <v>7460</v>
          </cell>
          <cell r="K357">
            <v>102</v>
          </cell>
          <cell r="L357" t="str">
            <v>1.2.</v>
          </cell>
          <cell r="M357" t="str">
            <v>Калининский</v>
          </cell>
        </row>
        <row r="358">
          <cell r="A358">
            <v>1</v>
          </cell>
          <cell r="B358" t="str">
            <v>Автогрейдер средний</v>
          </cell>
          <cell r="C358" t="str">
            <v>м/ч</v>
          </cell>
          <cell r="D358">
            <v>4</v>
          </cell>
          <cell r="E358">
            <v>2.48</v>
          </cell>
          <cell r="F358">
            <v>9</v>
          </cell>
          <cell r="G358">
            <v>125.03</v>
          </cell>
          <cell r="H358">
            <v>449</v>
          </cell>
          <cell r="I358">
            <v>50.42</v>
          </cell>
          <cell r="J358">
            <v>440</v>
          </cell>
          <cell r="M358" t="str">
            <v>Калининский</v>
          </cell>
        </row>
        <row r="359">
          <cell r="A359">
            <v>2</v>
          </cell>
          <cell r="B359" t="str">
            <v>Бульдозер</v>
          </cell>
          <cell r="C359" t="str">
            <v>м/ч</v>
          </cell>
          <cell r="D359">
            <v>2</v>
          </cell>
          <cell r="E359">
            <v>2.3</v>
          </cell>
          <cell r="F359">
            <v>5</v>
          </cell>
          <cell r="G359">
            <v>113.86</v>
          </cell>
          <cell r="H359">
            <v>228</v>
          </cell>
          <cell r="I359">
            <v>49.5</v>
          </cell>
          <cell r="J359">
            <v>223</v>
          </cell>
          <cell r="M359" t="str">
            <v>Калининский</v>
          </cell>
        </row>
        <row r="360">
          <cell r="A360">
            <v>3</v>
          </cell>
          <cell r="B360" t="str">
            <v>Машина поливомоечная</v>
          </cell>
          <cell r="C360" t="str">
            <v>м/ч</v>
          </cell>
          <cell r="D360">
            <v>14</v>
          </cell>
          <cell r="E360">
            <v>6.16</v>
          </cell>
          <cell r="F360">
            <v>85</v>
          </cell>
          <cell r="G360">
            <v>197.6</v>
          </cell>
          <cell r="H360">
            <v>2711</v>
          </cell>
          <cell r="I360">
            <v>32.08</v>
          </cell>
          <cell r="J360">
            <v>2627</v>
          </cell>
          <cell r="M360" t="str">
            <v>Калининский</v>
          </cell>
        </row>
        <row r="361">
          <cell r="A361">
            <v>4</v>
          </cell>
          <cell r="B361" t="str">
            <v>Каток  самоходный гладкий 5 тн </v>
          </cell>
          <cell r="C361" t="str">
            <v>м/ч</v>
          </cell>
          <cell r="D361">
            <v>46</v>
          </cell>
          <cell r="E361">
            <v>1.81</v>
          </cell>
          <cell r="F361">
            <v>84</v>
          </cell>
          <cell r="G361">
            <v>80.16</v>
          </cell>
          <cell r="H361">
            <v>3699</v>
          </cell>
          <cell r="I361">
            <v>44.29</v>
          </cell>
          <cell r="J361">
            <v>3616</v>
          </cell>
          <cell r="M361" t="str">
            <v>Калининский</v>
          </cell>
        </row>
        <row r="362">
          <cell r="A362">
            <v>5</v>
          </cell>
          <cell r="B362" t="str">
            <v>Экскаватор </v>
          </cell>
          <cell r="C362" t="str">
            <v>м/ч</v>
          </cell>
          <cell r="D362">
            <v>4</v>
          </cell>
          <cell r="E362">
            <v>2.72</v>
          </cell>
          <cell r="F362">
            <v>12</v>
          </cell>
          <cell r="G362">
            <v>103.25</v>
          </cell>
          <cell r="H362">
            <v>441</v>
          </cell>
          <cell r="I362">
            <v>37.96</v>
          </cell>
          <cell r="J362">
            <v>429</v>
          </cell>
          <cell r="M362" t="str">
            <v>Калининский</v>
          </cell>
        </row>
        <row r="363">
          <cell r="A363">
            <v>6</v>
          </cell>
          <cell r="B363" t="str">
            <v>Машина бурильно-крановая</v>
          </cell>
          <cell r="C363" t="str">
            <v>м/ч</v>
          </cell>
          <cell r="D363">
            <v>1</v>
          </cell>
          <cell r="E363">
            <v>3.41</v>
          </cell>
          <cell r="F363">
            <v>2</v>
          </cell>
          <cell r="G363">
            <v>129.45</v>
          </cell>
          <cell r="H363">
            <v>76</v>
          </cell>
          <cell r="I363">
            <v>37.96</v>
          </cell>
          <cell r="J363">
            <v>74</v>
          </cell>
          <cell r="M363" t="str">
            <v>Калининский</v>
          </cell>
        </row>
        <row r="364">
          <cell r="A364">
            <v>7</v>
          </cell>
          <cell r="B364" t="str">
            <v>Автокран 3т</v>
          </cell>
          <cell r="C364" t="str">
            <v>м/ч</v>
          </cell>
          <cell r="D364">
            <v>0</v>
          </cell>
          <cell r="E364">
            <v>4.01</v>
          </cell>
          <cell r="F364">
            <v>2</v>
          </cell>
          <cell r="G364">
            <v>152.22</v>
          </cell>
          <cell r="H364">
            <v>64</v>
          </cell>
          <cell r="I364">
            <v>37.96</v>
          </cell>
          <cell r="J364">
            <v>62</v>
          </cell>
          <cell r="M364" t="str">
            <v>Калининский</v>
          </cell>
        </row>
        <row r="365">
          <cell r="A365">
            <v>8</v>
          </cell>
          <cell r="B365" t="str">
            <v>Прочие машины</v>
          </cell>
          <cell r="C365" t="str">
            <v>руб</v>
          </cell>
          <cell r="D365">
            <v>11</v>
          </cell>
          <cell r="E365">
            <v>1</v>
          </cell>
          <cell r="F365">
            <v>11</v>
          </cell>
          <cell r="H365">
            <v>0</v>
          </cell>
          <cell r="I365">
            <v>0</v>
          </cell>
          <cell r="J365">
            <v>-11</v>
          </cell>
          <cell r="M365" t="str">
            <v>Калининский</v>
          </cell>
        </row>
        <row r="366">
          <cell r="A366">
            <v>9</v>
          </cell>
          <cell r="F366">
            <v>0</v>
          </cell>
          <cell r="H366">
            <v>0</v>
          </cell>
          <cell r="I366" t="e">
            <v>#DIV/0!</v>
          </cell>
          <cell r="J366">
            <v>0</v>
          </cell>
          <cell r="M366" t="str">
            <v>Калининский</v>
          </cell>
        </row>
        <row r="367">
          <cell r="A367">
            <v>10</v>
          </cell>
          <cell r="F367">
            <v>0</v>
          </cell>
          <cell r="H367">
            <v>0</v>
          </cell>
          <cell r="I367" t="e">
            <v>#DIV/0!</v>
          </cell>
          <cell r="J367">
            <v>0</v>
          </cell>
          <cell r="M367" t="str">
            <v>Калининский</v>
          </cell>
        </row>
        <row r="368">
          <cell r="M368" t="str">
            <v>Калининский</v>
          </cell>
        </row>
        <row r="369">
          <cell r="A369" t="str">
            <v>102-1.3.</v>
          </cell>
          <cell r="B369" t="str">
            <v>Материалы</v>
          </cell>
          <cell r="F369">
            <v>6657</v>
          </cell>
          <cell r="H369">
            <v>180781</v>
          </cell>
          <cell r="I369">
            <v>27.15</v>
          </cell>
          <cell r="J369">
            <v>173842</v>
          </cell>
          <cell r="K369">
            <v>102</v>
          </cell>
          <cell r="L369" t="str">
            <v>1.3.</v>
          </cell>
          <cell r="M369" t="str">
            <v>Калининский</v>
          </cell>
        </row>
        <row r="370">
          <cell r="B370" t="str">
            <v>Материальные ресурсы по нормам СНиП</v>
          </cell>
          <cell r="F370">
            <v>3258</v>
          </cell>
          <cell r="H370">
            <v>112265</v>
          </cell>
          <cell r="I370">
            <v>34.46</v>
          </cell>
          <cell r="J370">
            <v>108725</v>
          </cell>
          <cell r="M370" t="str">
            <v>Калининский</v>
          </cell>
        </row>
        <row r="371">
          <cell r="A371">
            <v>1</v>
          </cell>
          <cell r="B371" t="str">
            <v>ПГС</v>
          </cell>
          <cell r="C371" t="str">
            <v>м3</v>
          </cell>
          <cell r="D371">
            <v>263.4</v>
          </cell>
          <cell r="E371">
            <v>1.9</v>
          </cell>
          <cell r="F371">
            <v>500</v>
          </cell>
          <cell r="G371">
            <v>40.57</v>
          </cell>
          <cell r="H371">
            <v>10686</v>
          </cell>
          <cell r="I371">
            <v>21.35</v>
          </cell>
          <cell r="J371">
            <v>10186</v>
          </cell>
          <cell r="M371" t="str">
            <v>Калининский</v>
          </cell>
        </row>
        <row r="372">
          <cell r="A372">
            <v>2</v>
          </cell>
          <cell r="B372" t="str">
            <v>М/з а/б смесь</v>
          </cell>
          <cell r="C372" t="str">
            <v>т</v>
          </cell>
          <cell r="D372">
            <v>148</v>
          </cell>
          <cell r="E372">
            <v>14.84</v>
          </cell>
          <cell r="F372">
            <v>2196</v>
          </cell>
          <cell r="G372">
            <v>569.5</v>
          </cell>
          <cell r="H372">
            <v>84286</v>
          </cell>
          <cell r="I372">
            <v>38.38</v>
          </cell>
          <cell r="J372">
            <v>82090</v>
          </cell>
          <cell r="M372" t="str">
            <v>Калининский</v>
          </cell>
        </row>
        <row r="373">
          <cell r="A373">
            <v>3</v>
          </cell>
          <cell r="B373" t="str">
            <v>Бортовой камень Бр 100.30.18</v>
          </cell>
          <cell r="C373" t="str">
            <v>м3</v>
          </cell>
          <cell r="D373">
            <v>2.48</v>
          </cell>
          <cell r="E373">
            <v>43.6</v>
          </cell>
          <cell r="F373">
            <v>108</v>
          </cell>
          <cell r="G373">
            <v>1333.33</v>
          </cell>
          <cell r="H373">
            <v>3307</v>
          </cell>
          <cell r="I373">
            <v>30.58</v>
          </cell>
          <cell r="J373">
            <v>3199</v>
          </cell>
          <cell r="M373" t="str">
            <v>Калининский</v>
          </cell>
        </row>
        <row r="374">
          <cell r="A374">
            <v>4</v>
          </cell>
          <cell r="B374" t="str">
            <v>Бортовой камень Бр 100.20.8</v>
          </cell>
          <cell r="C374" t="str">
            <v>м3</v>
          </cell>
          <cell r="D374">
            <v>0.88</v>
          </cell>
          <cell r="E374">
            <v>49.4</v>
          </cell>
          <cell r="F374">
            <v>43</v>
          </cell>
          <cell r="G374">
            <v>1333.33</v>
          </cell>
          <cell r="H374">
            <v>1173</v>
          </cell>
          <cell r="I374">
            <v>26.99</v>
          </cell>
          <cell r="J374">
            <v>1130</v>
          </cell>
          <cell r="M374" t="str">
            <v>Калининский</v>
          </cell>
        </row>
        <row r="375">
          <cell r="A375">
            <v>5</v>
          </cell>
          <cell r="B375" t="str">
            <v>Барьерное ограждение</v>
          </cell>
          <cell r="C375" t="str">
            <v>т</v>
          </cell>
          <cell r="D375">
            <v>0.4</v>
          </cell>
          <cell r="E375">
            <v>432.5</v>
          </cell>
          <cell r="F375">
            <v>173</v>
          </cell>
          <cell r="G375">
            <v>17955</v>
          </cell>
          <cell r="H375">
            <v>7182</v>
          </cell>
          <cell r="I375">
            <v>41.51</v>
          </cell>
          <cell r="J375">
            <v>7009</v>
          </cell>
          <cell r="M375" t="str">
            <v>Калининский</v>
          </cell>
        </row>
        <row r="376">
          <cell r="A376">
            <v>6</v>
          </cell>
          <cell r="B376" t="str">
            <v>Бетон М 100</v>
          </cell>
          <cell r="C376" t="str">
            <v>м3</v>
          </cell>
          <cell r="D376">
            <v>2.1</v>
          </cell>
          <cell r="E376">
            <v>16.53</v>
          </cell>
          <cell r="F376">
            <v>35</v>
          </cell>
          <cell r="G376">
            <v>525</v>
          </cell>
          <cell r="H376">
            <v>1103</v>
          </cell>
          <cell r="I376">
            <v>31.76</v>
          </cell>
          <cell r="J376">
            <v>1068</v>
          </cell>
          <cell r="M376" t="str">
            <v>Калининский</v>
          </cell>
        </row>
        <row r="377">
          <cell r="A377">
            <v>7</v>
          </cell>
          <cell r="B377" t="str">
            <v>Краска масляная</v>
          </cell>
          <cell r="C377" t="str">
            <v>кг</v>
          </cell>
          <cell r="D377">
            <v>5</v>
          </cell>
          <cell r="E377">
            <v>1.8</v>
          </cell>
          <cell r="F377">
            <v>9</v>
          </cell>
          <cell r="G377">
            <v>29.17</v>
          </cell>
          <cell r="H377">
            <v>146</v>
          </cell>
          <cell r="I377">
            <v>16.21</v>
          </cell>
          <cell r="J377">
            <v>137</v>
          </cell>
          <cell r="M377" t="str">
            <v>Калининский</v>
          </cell>
        </row>
        <row r="378">
          <cell r="A378">
            <v>8</v>
          </cell>
          <cell r="B378" t="str">
            <v>Знаки дорожные</v>
          </cell>
          <cell r="C378" t="str">
            <v>шт</v>
          </cell>
          <cell r="D378">
            <v>8</v>
          </cell>
          <cell r="E378">
            <v>18.59</v>
          </cell>
          <cell r="F378">
            <v>149</v>
          </cell>
          <cell r="G378">
            <v>442.71</v>
          </cell>
          <cell r="H378">
            <v>3542</v>
          </cell>
          <cell r="I378">
            <v>23.81</v>
          </cell>
          <cell r="J378">
            <v>3393</v>
          </cell>
          <cell r="M378" t="str">
            <v>Калининский</v>
          </cell>
        </row>
        <row r="379">
          <cell r="A379">
            <v>9</v>
          </cell>
          <cell r="B379" t="str">
            <v>Стойка ж/б</v>
          </cell>
          <cell r="C379" t="str">
            <v>м3</v>
          </cell>
          <cell r="D379">
            <v>0.16</v>
          </cell>
          <cell r="E379">
            <v>67.97</v>
          </cell>
          <cell r="F379">
            <v>11</v>
          </cell>
          <cell r="G379">
            <v>2750</v>
          </cell>
          <cell r="H379">
            <v>440</v>
          </cell>
          <cell r="I379">
            <v>40.46</v>
          </cell>
          <cell r="J379">
            <v>429</v>
          </cell>
          <cell r="M379" t="str">
            <v>Калининский</v>
          </cell>
        </row>
        <row r="380">
          <cell r="A380">
            <v>10</v>
          </cell>
          <cell r="B380" t="str">
            <v>Берма ж/б</v>
          </cell>
          <cell r="C380" t="str">
            <v>м3</v>
          </cell>
          <cell r="D380">
            <v>0.03</v>
          </cell>
          <cell r="E380">
            <v>67.97</v>
          </cell>
          <cell r="F380">
            <v>2</v>
          </cell>
          <cell r="G380">
            <v>2750</v>
          </cell>
          <cell r="H380">
            <v>88</v>
          </cell>
          <cell r="I380">
            <v>40.46</v>
          </cell>
          <cell r="J380">
            <v>86</v>
          </cell>
          <cell r="M380" t="str">
            <v>Калининский</v>
          </cell>
        </row>
        <row r="381">
          <cell r="A381">
            <v>11</v>
          </cell>
          <cell r="B381" t="str">
            <v>Прочие материалы</v>
          </cell>
          <cell r="C381" t="str">
            <v>руб</v>
          </cell>
          <cell r="D381">
            <v>31.28</v>
          </cell>
          <cell r="E381">
            <v>1</v>
          </cell>
          <cell r="F381">
            <v>31</v>
          </cell>
          <cell r="G381">
            <v>10</v>
          </cell>
          <cell r="H381">
            <v>313</v>
          </cell>
          <cell r="M381" t="str">
            <v>Калининский</v>
          </cell>
        </row>
        <row r="382">
          <cell r="B382" t="str">
            <v>Транспортировка материалов, т (вид транспорта, км)</v>
          </cell>
          <cell r="F382">
            <v>3399</v>
          </cell>
          <cell r="H382">
            <v>68516</v>
          </cell>
          <cell r="I382">
            <v>20.16</v>
          </cell>
          <cell r="J382">
            <v>65116</v>
          </cell>
          <cell r="M382" t="str">
            <v>Калининский</v>
          </cell>
        </row>
        <row r="383">
          <cell r="A383">
            <v>1</v>
          </cell>
          <cell r="B383" t="str">
            <v>ПГС  139 км</v>
          </cell>
          <cell r="C383" t="str">
            <v>т</v>
          </cell>
          <cell r="D383">
            <v>474.12</v>
          </cell>
          <cell r="E383">
            <v>6.41</v>
          </cell>
          <cell r="F383">
            <v>3039</v>
          </cell>
          <cell r="G383">
            <v>136.4</v>
          </cell>
          <cell r="H383">
            <v>64670</v>
          </cell>
          <cell r="I383">
            <v>21.28</v>
          </cell>
          <cell r="J383">
            <v>61631</v>
          </cell>
          <cell r="M383" t="str">
            <v>Калининский</v>
          </cell>
        </row>
        <row r="384">
          <cell r="A384">
            <v>2</v>
          </cell>
          <cell r="B384" t="str">
            <v>М/з а/б смесь 2 км</v>
          </cell>
          <cell r="C384" t="str">
            <v>т</v>
          </cell>
          <cell r="D384">
            <v>148</v>
          </cell>
          <cell r="E384">
            <v>0.65</v>
          </cell>
          <cell r="F384">
            <v>96</v>
          </cell>
          <cell r="G384">
            <v>2.91</v>
          </cell>
          <cell r="H384">
            <v>431</v>
          </cell>
          <cell r="I384">
            <v>4.48</v>
          </cell>
          <cell r="J384">
            <v>334</v>
          </cell>
          <cell r="M384" t="str">
            <v>Калининский</v>
          </cell>
        </row>
        <row r="385">
          <cell r="A385">
            <v>3</v>
          </cell>
          <cell r="B385" t="str">
            <v>Бортовой камень Бр 100.30.18  222 км</v>
          </cell>
          <cell r="C385" t="str">
            <v>т</v>
          </cell>
          <cell r="D385">
            <v>6.19</v>
          </cell>
          <cell r="E385">
            <v>8.72</v>
          </cell>
          <cell r="F385">
            <v>54</v>
          </cell>
          <cell r="G385">
            <v>271.65</v>
          </cell>
          <cell r="H385">
            <v>1681</v>
          </cell>
          <cell r="I385">
            <v>31.15</v>
          </cell>
          <cell r="J385">
            <v>1627</v>
          </cell>
          <cell r="M385" t="str">
            <v>Калининский</v>
          </cell>
        </row>
        <row r="386">
          <cell r="A386">
            <v>4</v>
          </cell>
          <cell r="B386" t="str">
            <v>Бортовой камень Бр 100.20.8  222 км</v>
          </cell>
          <cell r="C386" t="str">
            <v>т</v>
          </cell>
          <cell r="D386">
            <v>2.2</v>
          </cell>
          <cell r="E386">
            <v>8.72</v>
          </cell>
          <cell r="F386">
            <v>19</v>
          </cell>
          <cell r="G386">
            <v>271.65</v>
          </cell>
          <cell r="H386">
            <v>598</v>
          </cell>
          <cell r="I386">
            <v>31.15</v>
          </cell>
          <cell r="J386">
            <v>578</v>
          </cell>
          <cell r="M386" t="str">
            <v>Калининский</v>
          </cell>
        </row>
        <row r="387">
          <cell r="A387">
            <v>5</v>
          </cell>
          <cell r="B387" t="str">
            <v>Барьерное ограждение 82 км</v>
          </cell>
          <cell r="C387" t="str">
            <v>т</v>
          </cell>
          <cell r="D387">
            <v>0.4</v>
          </cell>
          <cell r="E387">
            <v>4.74</v>
          </cell>
          <cell r="F387">
            <v>2</v>
          </cell>
          <cell r="G387">
            <v>97.2</v>
          </cell>
          <cell r="H387">
            <v>39</v>
          </cell>
          <cell r="I387">
            <v>20.51</v>
          </cell>
          <cell r="J387">
            <v>37</v>
          </cell>
          <cell r="M387" t="str">
            <v>Калининский</v>
          </cell>
        </row>
        <row r="388">
          <cell r="A388">
            <v>6</v>
          </cell>
          <cell r="B388" t="str">
            <v>Бетон М 100    2 км</v>
          </cell>
          <cell r="C388" t="str">
            <v>т</v>
          </cell>
          <cell r="D388">
            <v>4.62</v>
          </cell>
          <cell r="E388">
            <v>0.65</v>
          </cell>
          <cell r="F388">
            <v>3</v>
          </cell>
          <cell r="G388">
            <v>2.91</v>
          </cell>
          <cell r="H388">
            <v>13</v>
          </cell>
          <cell r="I388">
            <v>4.48</v>
          </cell>
          <cell r="J388">
            <v>10</v>
          </cell>
          <cell r="M388" t="str">
            <v>Калининский</v>
          </cell>
        </row>
        <row r="389">
          <cell r="A389">
            <v>7</v>
          </cell>
          <cell r="B389" t="str">
            <v>Краска масляная</v>
          </cell>
          <cell r="C389" t="str">
            <v>кг</v>
          </cell>
          <cell r="D389">
            <v>5</v>
          </cell>
          <cell r="F389">
            <v>0</v>
          </cell>
          <cell r="H389">
            <v>0</v>
          </cell>
          <cell r="I389" t="e">
            <v>#DIV/0!</v>
          </cell>
          <cell r="J389">
            <v>0</v>
          </cell>
          <cell r="M389" t="str">
            <v>Калининский</v>
          </cell>
        </row>
        <row r="390">
          <cell r="A390">
            <v>8</v>
          </cell>
          <cell r="B390" t="str">
            <v>Прочие материал</v>
          </cell>
          <cell r="C390" t="str">
            <v>т</v>
          </cell>
          <cell r="D390">
            <v>1</v>
          </cell>
          <cell r="E390">
            <v>2.38</v>
          </cell>
          <cell r="F390">
            <v>2</v>
          </cell>
          <cell r="G390">
            <v>94.85</v>
          </cell>
          <cell r="H390">
            <v>95</v>
          </cell>
          <cell r="I390">
            <v>39.85</v>
          </cell>
          <cell r="J390">
            <v>92</v>
          </cell>
          <cell r="M390" t="str">
            <v>Калининский</v>
          </cell>
        </row>
        <row r="391">
          <cell r="A391">
            <v>9</v>
          </cell>
          <cell r="B391" t="str">
            <v>Грунт на 2 км</v>
          </cell>
          <cell r="C391" t="str">
            <v>т</v>
          </cell>
          <cell r="D391">
            <v>340</v>
          </cell>
          <cell r="E391">
            <v>0.54</v>
          </cell>
          <cell r="F391">
            <v>184</v>
          </cell>
          <cell r="G391">
            <v>2.91</v>
          </cell>
          <cell r="H391">
            <v>989</v>
          </cell>
          <cell r="I391">
            <v>5.39</v>
          </cell>
          <cell r="J391">
            <v>806</v>
          </cell>
          <cell r="M391" t="str">
            <v>Калининский</v>
          </cell>
        </row>
        <row r="392">
          <cell r="A392">
            <v>10</v>
          </cell>
          <cell r="C392" t="str">
            <v>т</v>
          </cell>
          <cell r="F392">
            <v>0</v>
          </cell>
          <cell r="H392">
            <v>0</v>
          </cell>
          <cell r="I392" t="e">
            <v>#DIV/0!</v>
          </cell>
          <cell r="J392">
            <v>0</v>
          </cell>
          <cell r="M392" t="str">
            <v>Калининский</v>
          </cell>
        </row>
        <row r="393">
          <cell r="M393" t="str">
            <v>Калининский</v>
          </cell>
        </row>
        <row r="394">
          <cell r="B394" t="str">
            <v>Заготовительно-складские расходы</v>
          </cell>
          <cell r="F394">
            <v>0</v>
          </cell>
          <cell r="H394">
            <v>0</v>
          </cell>
          <cell r="I394" t="e">
            <v>#DIV/0!</v>
          </cell>
          <cell r="J394">
            <v>0</v>
          </cell>
          <cell r="M394" t="str">
            <v>Калининский</v>
          </cell>
        </row>
        <row r="395">
          <cell r="A395">
            <v>1</v>
          </cell>
          <cell r="B395" t="str">
            <v>ПГС</v>
          </cell>
          <cell r="C395" t="str">
            <v>руб</v>
          </cell>
          <cell r="E395">
            <v>3539.57</v>
          </cell>
          <cell r="F395">
            <v>0</v>
          </cell>
          <cell r="H395">
            <v>0</v>
          </cell>
          <cell r="I395" t="e">
            <v>#DIV/0!</v>
          </cell>
          <cell r="J395">
            <v>0</v>
          </cell>
          <cell r="M395" t="str">
            <v>Калининский</v>
          </cell>
        </row>
        <row r="396">
          <cell r="A396">
            <v>2</v>
          </cell>
          <cell r="B396" t="str">
            <v>М/з а/б смесь</v>
          </cell>
          <cell r="C396" t="str">
            <v>руб</v>
          </cell>
          <cell r="E396">
            <v>2292.52</v>
          </cell>
          <cell r="F396">
            <v>0</v>
          </cell>
          <cell r="H396">
            <v>0</v>
          </cell>
          <cell r="I396" t="e">
            <v>#DIV/0!</v>
          </cell>
          <cell r="J396">
            <v>0</v>
          </cell>
          <cell r="M396" t="str">
            <v>Калининский</v>
          </cell>
        </row>
        <row r="397">
          <cell r="A397">
            <v>3</v>
          </cell>
          <cell r="B397" t="str">
            <v>Бортовой камень Бр 100.30.18</v>
          </cell>
          <cell r="C397" t="str">
            <v>руб</v>
          </cell>
          <cell r="E397">
            <v>162.1</v>
          </cell>
          <cell r="F397">
            <v>0</v>
          </cell>
          <cell r="H397">
            <v>0</v>
          </cell>
          <cell r="I397" t="e">
            <v>#DIV/0!</v>
          </cell>
          <cell r="J397">
            <v>0</v>
          </cell>
          <cell r="M397" t="str">
            <v>Калининский</v>
          </cell>
        </row>
        <row r="398">
          <cell r="A398">
            <v>4</v>
          </cell>
          <cell r="B398" t="str">
            <v>Бортовой камень Бр 100.20.8</v>
          </cell>
          <cell r="C398" t="str">
            <v>руб</v>
          </cell>
          <cell r="E398">
            <v>62.66</v>
          </cell>
          <cell r="F398">
            <v>0</v>
          </cell>
          <cell r="H398">
            <v>0</v>
          </cell>
          <cell r="I398" t="e">
            <v>#DIV/0!</v>
          </cell>
          <cell r="J398">
            <v>0</v>
          </cell>
          <cell r="M398" t="str">
            <v>Калининский</v>
          </cell>
        </row>
        <row r="399">
          <cell r="A399">
            <v>5</v>
          </cell>
          <cell r="B399" t="str">
            <v>Барьерное ограждение</v>
          </cell>
          <cell r="C399" t="str">
            <v>руб</v>
          </cell>
          <cell r="E399">
            <v>174.9</v>
          </cell>
          <cell r="F399">
            <v>0</v>
          </cell>
          <cell r="H399">
            <v>0</v>
          </cell>
          <cell r="I399" t="e">
            <v>#DIV/0!</v>
          </cell>
          <cell r="J399">
            <v>0</v>
          </cell>
          <cell r="M399" t="str">
            <v>Калининский</v>
          </cell>
        </row>
        <row r="400">
          <cell r="A400">
            <v>6</v>
          </cell>
          <cell r="B400" t="str">
            <v>Бетон М 100</v>
          </cell>
          <cell r="C400" t="str">
            <v>руб</v>
          </cell>
          <cell r="E400">
            <v>37.72</v>
          </cell>
          <cell r="F400">
            <v>0</v>
          </cell>
          <cell r="H400">
            <v>0</v>
          </cell>
          <cell r="I400" t="e">
            <v>#DIV/0!</v>
          </cell>
          <cell r="J400">
            <v>0</v>
          </cell>
          <cell r="M400" t="str">
            <v>Калининский</v>
          </cell>
        </row>
        <row r="401">
          <cell r="A401">
            <v>7</v>
          </cell>
          <cell r="B401" t="str">
            <v>Краска масляная</v>
          </cell>
          <cell r="C401" t="str">
            <v>руб</v>
          </cell>
          <cell r="E401">
            <v>9</v>
          </cell>
          <cell r="F401">
            <v>0</v>
          </cell>
          <cell r="H401">
            <v>0</v>
          </cell>
          <cell r="I401" t="e">
            <v>#DIV/0!</v>
          </cell>
          <cell r="J401">
            <v>0</v>
          </cell>
          <cell r="M401" t="str">
            <v>Калининский</v>
          </cell>
        </row>
        <row r="402">
          <cell r="A402">
            <v>8</v>
          </cell>
          <cell r="B402" t="str">
            <v>Знаки дорожные</v>
          </cell>
          <cell r="C402" t="str">
            <v>руб</v>
          </cell>
          <cell r="E402">
            <v>151.1</v>
          </cell>
          <cell r="F402">
            <v>0</v>
          </cell>
          <cell r="H402">
            <v>0</v>
          </cell>
          <cell r="I402" t="e">
            <v>#DIV/0!</v>
          </cell>
          <cell r="J402">
            <v>0</v>
          </cell>
          <cell r="M402" t="str">
            <v>Калининский</v>
          </cell>
        </row>
        <row r="403">
          <cell r="A403">
            <v>9</v>
          </cell>
          <cell r="B403" t="str">
            <v>Стойка ж/б</v>
          </cell>
          <cell r="C403" t="str">
            <v>руб</v>
          </cell>
          <cell r="E403">
            <v>194.48</v>
          </cell>
          <cell r="F403">
            <v>0</v>
          </cell>
          <cell r="H403">
            <v>0</v>
          </cell>
          <cell r="I403" t="e">
            <v>#DIV/0!</v>
          </cell>
          <cell r="J403">
            <v>0</v>
          </cell>
          <cell r="M403" t="str">
            <v>Калининский</v>
          </cell>
        </row>
        <row r="404">
          <cell r="A404">
            <v>10</v>
          </cell>
          <cell r="B404" t="str">
            <v>Берма ж/б</v>
          </cell>
          <cell r="C404" t="str">
            <v>руб</v>
          </cell>
          <cell r="E404">
            <v>2.18</v>
          </cell>
          <cell r="F404">
            <v>0</v>
          </cell>
          <cell r="H404">
            <v>0</v>
          </cell>
          <cell r="I404" t="e">
            <v>#DIV/0!</v>
          </cell>
          <cell r="J404">
            <v>0</v>
          </cell>
          <cell r="M404" t="str">
            <v>Калининский</v>
          </cell>
        </row>
        <row r="405">
          <cell r="M405" t="str">
            <v>Калининский</v>
          </cell>
        </row>
        <row r="406">
          <cell r="M406" t="str">
            <v>Калининский</v>
          </cell>
        </row>
        <row r="407">
          <cell r="B407" t="str">
            <v>Составил:______________________________</v>
          </cell>
          <cell r="M407" t="str">
            <v>Калининский</v>
          </cell>
        </row>
        <row r="408">
          <cell r="M408" t="str">
            <v>Калининский</v>
          </cell>
        </row>
        <row r="409">
          <cell r="B409" t="str">
            <v>Начальник ТДО: ________________________</v>
          </cell>
        </row>
        <row r="410">
          <cell r="B410" t="e">
            <v>#N/A</v>
          </cell>
          <cell r="M410" t="e">
            <v>#N/A</v>
          </cell>
        </row>
        <row r="411">
          <cell r="A411" t="str">
            <v>0-1.1.</v>
          </cell>
          <cell r="B411" t="str">
            <v>Фонд заработной платы</v>
          </cell>
          <cell r="D411">
            <v>12097</v>
          </cell>
          <cell r="F411">
            <v>8248</v>
          </cell>
          <cell r="H411">
            <v>163136.69400000002</v>
          </cell>
          <cell r="I411">
            <v>19.778939621726483</v>
          </cell>
          <cell r="J411">
            <v>154888.69400000002</v>
          </cell>
          <cell r="K411">
            <v>0</v>
          </cell>
          <cell r="L411" t="str">
            <v>1.1.</v>
          </cell>
          <cell r="M411" t="e">
            <v>#N/A</v>
          </cell>
        </row>
        <row r="412">
          <cell r="A412" t="str">
            <v>0-1.1.1.</v>
          </cell>
          <cell r="B412" t="str">
            <v>Основные рабочие</v>
          </cell>
          <cell r="C412" t="str">
            <v>ч/ч</v>
          </cell>
          <cell r="D412">
            <v>7484</v>
          </cell>
          <cell r="E412">
            <v>0.5510422234099412</v>
          </cell>
          <cell r="F412">
            <v>4124</v>
          </cell>
          <cell r="G412">
            <v>12.201000000000002</v>
          </cell>
          <cell r="H412">
            <v>91312.28400000001</v>
          </cell>
          <cell r="I412">
            <v>22.14167895247333</v>
          </cell>
          <cell r="J412">
            <v>87188.28400000001</v>
          </cell>
          <cell r="K412">
            <v>0</v>
          </cell>
          <cell r="L412" t="str">
            <v>1.1.1.</v>
          </cell>
          <cell r="M412" t="e">
            <v>#N/A</v>
          </cell>
        </row>
        <row r="413">
          <cell r="A413" t="str">
            <v>0-1.1.2.</v>
          </cell>
          <cell r="B413" t="str">
            <v>Машинисты</v>
          </cell>
          <cell r="C413" t="str">
            <v>ч/ч</v>
          </cell>
          <cell r="D413">
            <v>4613</v>
          </cell>
          <cell r="E413">
            <v>0.8939952308692825</v>
          </cell>
          <cell r="F413">
            <v>4124</v>
          </cell>
          <cell r="G413">
            <v>15.57</v>
          </cell>
          <cell r="H413">
            <v>71824.41</v>
          </cell>
          <cell r="I413">
            <v>17.41620029097963</v>
          </cell>
          <cell r="J413">
            <v>67700.41</v>
          </cell>
          <cell r="K413">
            <v>0</v>
          </cell>
          <cell r="L413" t="str">
            <v>1.1.2.</v>
          </cell>
          <cell r="M413" t="e">
            <v>#N/A</v>
          </cell>
        </row>
        <row r="414">
          <cell r="M414" t="e">
            <v>#N/A</v>
          </cell>
        </row>
        <row r="415">
          <cell r="A415" t="str">
            <v>0-1.2.</v>
          </cell>
          <cell r="B415" t="str">
            <v>Технические ресурсы по нормам СНиП (без зарботной платы машиниста)</v>
          </cell>
          <cell r="F415">
            <v>256.8</v>
          </cell>
          <cell r="H415">
            <v>14000</v>
          </cell>
          <cell r="I415">
            <v>54.51713395638629</v>
          </cell>
          <cell r="J415">
            <v>13743.2</v>
          </cell>
          <cell r="K415">
            <v>0</v>
          </cell>
          <cell r="L415" t="str">
            <v>1.2.</v>
          </cell>
          <cell r="M415" t="e">
            <v>#N/A</v>
          </cell>
        </row>
        <row r="416">
          <cell r="A416">
            <v>1</v>
          </cell>
          <cell r="B416" t="str">
            <v>Автогрейдер средний</v>
          </cell>
          <cell r="C416" t="str">
            <v>м/ч</v>
          </cell>
          <cell r="D416">
            <v>100</v>
          </cell>
          <cell r="E416">
            <v>2.568</v>
          </cell>
          <cell r="F416">
            <v>256.8</v>
          </cell>
          <cell r="G416">
            <v>140</v>
          </cell>
          <cell r="H416">
            <v>14000</v>
          </cell>
          <cell r="I416">
            <v>54.51713395638629</v>
          </cell>
          <cell r="J416">
            <v>13743.2</v>
          </cell>
          <cell r="M416" t="e">
            <v>#N/A</v>
          </cell>
        </row>
        <row r="417">
          <cell r="A417">
            <v>2</v>
          </cell>
          <cell r="B417" t="str">
            <v>Бульдозер</v>
          </cell>
          <cell r="C417" t="str">
            <v>м/ч</v>
          </cell>
          <cell r="D417">
            <v>1</v>
          </cell>
          <cell r="F417">
            <v>0</v>
          </cell>
          <cell r="H417">
            <v>0</v>
          </cell>
          <cell r="I417" t="e">
            <v>#DIV/0!</v>
          </cell>
          <cell r="J417">
            <v>0</v>
          </cell>
          <cell r="M417" t="e">
            <v>#N/A</v>
          </cell>
        </row>
        <row r="418">
          <cell r="A418">
            <v>3</v>
          </cell>
          <cell r="C418" t="str">
            <v>м/ч</v>
          </cell>
          <cell r="D418">
            <v>1</v>
          </cell>
          <cell r="F418">
            <v>0</v>
          </cell>
          <cell r="H418">
            <v>0</v>
          </cell>
          <cell r="I418" t="e">
            <v>#DIV/0!</v>
          </cell>
          <cell r="J418">
            <v>0</v>
          </cell>
          <cell r="M418" t="e">
            <v>#N/A</v>
          </cell>
        </row>
        <row r="419">
          <cell r="A419">
            <v>4</v>
          </cell>
          <cell r="C419" t="str">
            <v>м/ч</v>
          </cell>
          <cell r="F419">
            <v>0</v>
          </cell>
          <cell r="H419">
            <v>0</v>
          </cell>
          <cell r="I419" t="e">
            <v>#DIV/0!</v>
          </cell>
          <cell r="J419">
            <v>0</v>
          </cell>
          <cell r="M419" t="e">
            <v>#N/A</v>
          </cell>
        </row>
        <row r="420">
          <cell r="A420">
            <v>5</v>
          </cell>
          <cell r="C420" t="str">
            <v>м/ч</v>
          </cell>
          <cell r="F420">
            <v>0</v>
          </cell>
          <cell r="H420">
            <v>0</v>
          </cell>
          <cell r="I420" t="e">
            <v>#DIV/0!</v>
          </cell>
          <cell r="J420">
            <v>0</v>
          </cell>
          <cell r="M420" t="e">
            <v>#N/A</v>
          </cell>
        </row>
        <row r="421">
          <cell r="A421">
            <v>6</v>
          </cell>
          <cell r="C421" t="str">
            <v>м/ч</v>
          </cell>
          <cell r="F421">
            <v>0</v>
          </cell>
          <cell r="H421">
            <v>0</v>
          </cell>
          <cell r="I421" t="e">
            <v>#DIV/0!</v>
          </cell>
          <cell r="J421">
            <v>0</v>
          </cell>
          <cell r="M421" t="e">
            <v>#N/A</v>
          </cell>
        </row>
        <row r="422">
          <cell r="A422">
            <v>7</v>
          </cell>
          <cell r="C422" t="str">
            <v>м/ч</v>
          </cell>
          <cell r="F422">
            <v>0</v>
          </cell>
          <cell r="H422">
            <v>0</v>
          </cell>
          <cell r="I422" t="e">
            <v>#DIV/0!</v>
          </cell>
          <cell r="J422">
            <v>0</v>
          </cell>
          <cell r="M422" t="e">
            <v>#N/A</v>
          </cell>
        </row>
        <row r="423">
          <cell r="A423">
            <v>8</v>
          </cell>
          <cell r="C423" t="str">
            <v>м/ч</v>
          </cell>
          <cell r="F423">
            <v>0</v>
          </cell>
          <cell r="H423">
            <v>0</v>
          </cell>
          <cell r="I423" t="e">
            <v>#DIV/0!</v>
          </cell>
          <cell r="J423">
            <v>0</v>
          </cell>
          <cell r="M423" t="e">
            <v>#N/A</v>
          </cell>
        </row>
        <row r="424">
          <cell r="A424">
            <v>9</v>
          </cell>
          <cell r="C424" t="str">
            <v>м/ч</v>
          </cell>
          <cell r="F424">
            <v>0</v>
          </cell>
          <cell r="H424">
            <v>0</v>
          </cell>
          <cell r="I424" t="e">
            <v>#DIV/0!</v>
          </cell>
          <cell r="J424">
            <v>0</v>
          </cell>
          <cell r="M424" t="e">
            <v>#N/A</v>
          </cell>
        </row>
        <row r="425">
          <cell r="A425">
            <v>10</v>
          </cell>
          <cell r="C425" t="str">
            <v>м/ч</v>
          </cell>
          <cell r="F425">
            <v>0</v>
          </cell>
          <cell r="H425">
            <v>0</v>
          </cell>
          <cell r="I425" t="e">
            <v>#DIV/0!</v>
          </cell>
          <cell r="J425">
            <v>0</v>
          </cell>
          <cell r="M425" t="e">
            <v>#N/A</v>
          </cell>
        </row>
        <row r="426">
          <cell r="M426" t="e">
            <v>#N/A</v>
          </cell>
        </row>
        <row r="427">
          <cell r="A427" t="str">
            <v>0-1.3.</v>
          </cell>
          <cell r="B427" t="str">
            <v>Материалы</v>
          </cell>
          <cell r="F427">
            <v>1246.44</v>
          </cell>
          <cell r="H427">
            <v>24440</v>
          </cell>
          <cell r="I427">
            <v>19.6078431372549</v>
          </cell>
          <cell r="J427">
            <v>23193.56</v>
          </cell>
          <cell r="K427">
            <v>0</v>
          </cell>
          <cell r="L427" t="str">
            <v>1.3.</v>
          </cell>
          <cell r="M427" t="e">
            <v>#N/A</v>
          </cell>
        </row>
        <row r="428">
          <cell r="B428" t="str">
            <v>Материальные ресурсы по нормам СНиП</v>
          </cell>
          <cell r="F428">
            <v>0</v>
          </cell>
          <cell r="H428">
            <v>0</v>
          </cell>
          <cell r="I428" t="e">
            <v>#DIV/0!</v>
          </cell>
          <cell r="J428">
            <v>0</v>
          </cell>
          <cell r="M428" t="e">
            <v>#N/A</v>
          </cell>
        </row>
        <row r="429">
          <cell r="A429">
            <v>1</v>
          </cell>
          <cell r="C429" t="str">
            <v>м3</v>
          </cell>
          <cell r="F429">
            <v>0</v>
          </cell>
          <cell r="H429">
            <v>0</v>
          </cell>
          <cell r="I429" t="e">
            <v>#DIV/0!</v>
          </cell>
          <cell r="J429">
            <v>0</v>
          </cell>
          <cell r="M429" t="e">
            <v>#N/A</v>
          </cell>
        </row>
        <row r="430">
          <cell r="A430">
            <v>2</v>
          </cell>
          <cell r="F430">
            <v>0</v>
          </cell>
          <cell r="H430">
            <v>0</v>
          </cell>
          <cell r="I430" t="e">
            <v>#DIV/0!</v>
          </cell>
          <cell r="J430">
            <v>0</v>
          </cell>
          <cell r="M430" t="e">
            <v>#N/A</v>
          </cell>
        </row>
        <row r="431">
          <cell r="A431">
            <v>3</v>
          </cell>
          <cell r="F431">
            <v>0</v>
          </cell>
          <cell r="H431">
            <v>0</v>
          </cell>
          <cell r="I431" t="e">
            <v>#DIV/0!</v>
          </cell>
          <cell r="J431">
            <v>0</v>
          </cell>
          <cell r="M431" t="e">
            <v>#N/A</v>
          </cell>
        </row>
        <row r="432">
          <cell r="A432">
            <v>4</v>
          </cell>
          <cell r="F432">
            <v>0</v>
          </cell>
          <cell r="H432">
            <v>0</v>
          </cell>
          <cell r="I432" t="e">
            <v>#DIV/0!</v>
          </cell>
          <cell r="J432">
            <v>0</v>
          </cell>
          <cell r="M432" t="e">
            <v>#N/A</v>
          </cell>
        </row>
        <row r="433">
          <cell r="A433">
            <v>5</v>
          </cell>
          <cell r="F433">
            <v>0</v>
          </cell>
          <cell r="H433">
            <v>0</v>
          </cell>
          <cell r="I433" t="e">
            <v>#DIV/0!</v>
          </cell>
          <cell r="J433">
            <v>0</v>
          </cell>
          <cell r="M433" t="e">
            <v>#N/A</v>
          </cell>
        </row>
        <row r="434">
          <cell r="A434">
            <v>6</v>
          </cell>
          <cell r="F434">
            <v>0</v>
          </cell>
          <cell r="H434">
            <v>0</v>
          </cell>
          <cell r="I434" t="e">
            <v>#DIV/0!</v>
          </cell>
          <cell r="J434">
            <v>0</v>
          </cell>
          <cell r="M434" t="e">
            <v>#N/A</v>
          </cell>
        </row>
        <row r="435">
          <cell r="A435">
            <v>7</v>
          </cell>
          <cell r="F435">
            <v>0</v>
          </cell>
          <cell r="H435">
            <v>0</v>
          </cell>
          <cell r="I435" t="e">
            <v>#DIV/0!</v>
          </cell>
          <cell r="J435">
            <v>0</v>
          </cell>
          <cell r="M435" t="e">
            <v>#N/A</v>
          </cell>
        </row>
        <row r="436">
          <cell r="A436">
            <v>8</v>
          </cell>
          <cell r="F436">
            <v>0</v>
          </cell>
          <cell r="H436">
            <v>0</v>
          </cell>
          <cell r="I436" t="e">
            <v>#DIV/0!</v>
          </cell>
          <cell r="J436">
            <v>0</v>
          </cell>
          <cell r="M436" t="e">
            <v>#N/A</v>
          </cell>
        </row>
        <row r="437">
          <cell r="A437">
            <v>9</v>
          </cell>
          <cell r="F437">
            <v>0</v>
          </cell>
          <cell r="H437">
            <v>0</v>
          </cell>
          <cell r="I437" t="e">
            <v>#DIV/0!</v>
          </cell>
          <cell r="J437">
            <v>0</v>
          </cell>
          <cell r="M437" t="e">
            <v>#N/A</v>
          </cell>
        </row>
        <row r="438">
          <cell r="A438">
            <v>10</v>
          </cell>
          <cell r="F438">
            <v>0</v>
          </cell>
          <cell r="H438">
            <v>0</v>
          </cell>
          <cell r="I438" t="e">
            <v>#DIV/0!</v>
          </cell>
          <cell r="J438">
            <v>0</v>
          </cell>
          <cell r="M438" t="e">
            <v>#N/A</v>
          </cell>
        </row>
        <row r="439">
          <cell r="M439" t="e">
            <v>#N/A</v>
          </cell>
        </row>
        <row r="440">
          <cell r="B440" t="str">
            <v>Транспортировка материалов, т (вид транспорта, км)</v>
          </cell>
          <cell r="F440">
            <v>1222</v>
          </cell>
          <cell r="H440">
            <v>24440</v>
          </cell>
          <cell r="I440">
            <v>20</v>
          </cell>
          <cell r="J440">
            <v>23218</v>
          </cell>
          <cell r="M440" t="e">
            <v>#N/A</v>
          </cell>
        </row>
        <row r="441">
          <cell r="A441">
            <v>1</v>
          </cell>
          <cell r="C441" t="str">
            <v>т</v>
          </cell>
          <cell r="D441">
            <v>1222</v>
          </cell>
          <cell r="E441">
            <v>1</v>
          </cell>
          <cell r="F441">
            <v>1222</v>
          </cell>
          <cell r="G441">
            <v>20</v>
          </cell>
          <cell r="H441">
            <v>24440</v>
          </cell>
          <cell r="I441">
            <v>20</v>
          </cell>
          <cell r="J441">
            <v>23218</v>
          </cell>
          <cell r="M441" t="e">
            <v>#N/A</v>
          </cell>
        </row>
        <row r="442">
          <cell r="A442">
            <v>2</v>
          </cell>
          <cell r="C442" t="str">
            <v>т</v>
          </cell>
          <cell r="F442">
            <v>0</v>
          </cell>
          <cell r="H442">
            <v>0</v>
          </cell>
          <cell r="I442" t="e">
            <v>#DIV/0!</v>
          </cell>
          <cell r="J442">
            <v>0</v>
          </cell>
          <cell r="M442" t="e">
            <v>#N/A</v>
          </cell>
        </row>
        <row r="443">
          <cell r="A443">
            <v>3</v>
          </cell>
          <cell r="C443" t="str">
            <v>т</v>
          </cell>
          <cell r="F443">
            <v>0</v>
          </cell>
          <cell r="H443">
            <v>0</v>
          </cell>
          <cell r="I443" t="e">
            <v>#DIV/0!</v>
          </cell>
          <cell r="J443">
            <v>0</v>
          </cell>
          <cell r="M443" t="e">
            <v>#N/A</v>
          </cell>
        </row>
        <row r="444">
          <cell r="A444">
            <v>4</v>
          </cell>
          <cell r="C444" t="str">
            <v>т</v>
          </cell>
          <cell r="F444">
            <v>0</v>
          </cell>
          <cell r="H444">
            <v>0</v>
          </cell>
          <cell r="I444" t="e">
            <v>#DIV/0!</v>
          </cell>
          <cell r="J444">
            <v>0</v>
          </cell>
          <cell r="M444" t="e">
            <v>#N/A</v>
          </cell>
        </row>
        <row r="445">
          <cell r="A445">
            <v>5</v>
          </cell>
          <cell r="C445" t="str">
            <v>т</v>
          </cell>
          <cell r="F445">
            <v>0</v>
          </cell>
          <cell r="H445">
            <v>0</v>
          </cell>
          <cell r="I445" t="e">
            <v>#DIV/0!</v>
          </cell>
          <cell r="J445">
            <v>0</v>
          </cell>
          <cell r="M445" t="e">
            <v>#N/A</v>
          </cell>
        </row>
        <row r="446">
          <cell r="A446">
            <v>6</v>
          </cell>
          <cell r="C446" t="str">
            <v>т</v>
          </cell>
          <cell r="F446">
            <v>0</v>
          </cell>
          <cell r="H446">
            <v>0</v>
          </cell>
          <cell r="I446" t="e">
            <v>#DIV/0!</v>
          </cell>
          <cell r="J446">
            <v>0</v>
          </cell>
          <cell r="M446" t="e">
            <v>#N/A</v>
          </cell>
        </row>
        <row r="447">
          <cell r="A447">
            <v>7</v>
          </cell>
          <cell r="C447" t="str">
            <v>т</v>
          </cell>
          <cell r="F447">
            <v>0</v>
          </cell>
          <cell r="H447">
            <v>0</v>
          </cell>
          <cell r="I447" t="e">
            <v>#DIV/0!</v>
          </cell>
          <cell r="J447">
            <v>0</v>
          </cell>
          <cell r="M447" t="e">
            <v>#N/A</v>
          </cell>
        </row>
        <row r="448">
          <cell r="A448">
            <v>8</v>
          </cell>
          <cell r="C448" t="str">
            <v>т</v>
          </cell>
          <cell r="F448">
            <v>0</v>
          </cell>
          <cell r="H448">
            <v>0</v>
          </cell>
          <cell r="I448" t="e">
            <v>#DIV/0!</v>
          </cell>
          <cell r="J448">
            <v>0</v>
          </cell>
          <cell r="M448" t="e">
            <v>#N/A</v>
          </cell>
        </row>
        <row r="449">
          <cell r="A449">
            <v>9</v>
          </cell>
          <cell r="C449" t="str">
            <v>т</v>
          </cell>
          <cell r="F449">
            <v>0</v>
          </cell>
          <cell r="H449">
            <v>0</v>
          </cell>
          <cell r="I449" t="e">
            <v>#DIV/0!</v>
          </cell>
          <cell r="J449">
            <v>0</v>
          </cell>
          <cell r="M449" t="e">
            <v>#N/A</v>
          </cell>
        </row>
        <row r="450">
          <cell r="A450">
            <v>10</v>
          </cell>
          <cell r="C450" t="str">
            <v>т</v>
          </cell>
          <cell r="F450">
            <v>0</v>
          </cell>
          <cell r="H450">
            <v>0</v>
          </cell>
          <cell r="I450" t="e">
            <v>#DIV/0!</v>
          </cell>
          <cell r="J450">
            <v>0</v>
          </cell>
          <cell r="M450" t="e">
            <v>#N/A</v>
          </cell>
        </row>
        <row r="451">
          <cell r="M451" t="e">
            <v>#N/A</v>
          </cell>
        </row>
        <row r="452">
          <cell r="B452" t="str">
            <v>Заготовительно-складские расходы</v>
          </cell>
          <cell r="F452">
            <v>24.44</v>
          </cell>
          <cell r="H452">
            <v>0</v>
          </cell>
          <cell r="I452">
            <v>0</v>
          </cell>
          <cell r="J452">
            <v>-24.44</v>
          </cell>
          <cell r="M452" t="e">
            <v>#N/A</v>
          </cell>
        </row>
        <row r="453">
          <cell r="A453">
            <v>1</v>
          </cell>
          <cell r="B453">
            <v>0</v>
          </cell>
          <cell r="C453" t="str">
            <v>руб</v>
          </cell>
          <cell r="D453">
            <v>0.02</v>
          </cell>
          <cell r="E453">
            <v>1222</v>
          </cell>
          <cell r="F453">
            <v>24.44</v>
          </cell>
          <cell r="H453">
            <v>0</v>
          </cell>
          <cell r="I453">
            <v>0</v>
          </cell>
          <cell r="J453">
            <v>-24.44</v>
          </cell>
          <cell r="M453" t="e">
            <v>#N/A</v>
          </cell>
        </row>
        <row r="454">
          <cell r="A454">
            <v>2</v>
          </cell>
          <cell r="B454">
            <v>0</v>
          </cell>
          <cell r="C454" t="str">
            <v>руб</v>
          </cell>
          <cell r="E454">
            <v>0</v>
          </cell>
          <cell r="F454">
            <v>0</v>
          </cell>
          <cell r="H454">
            <v>0</v>
          </cell>
          <cell r="I454" t="e">
            <v>#DIV/0!</v>
          </cell>
          <cell r="J454">
            <v>0</v>
          </cell>
          <cell r="M454" t="e">
            <v>#N/A</v>
          </cell>
        </row>
        <row r="455">
          <cell r="A455">
            <v>3</v>
          </cell>
          <cell r="B455">
            <v>0</v>
          </cell>
          <cell r="C455" t="str">
            <v>руб</v>
          </cell>
          <cell r="E455">
            <v>0</v>
          </cell>
          <cell r="F455">
            <v>0</v>
          </cell>
          <cell r="H455">
            <v>0</v>
          </cell>
          <cell r="I455" t="e">
            <v>#DIV/0!</v>
          </cell>
          <cell r="J455">
            <v>0</v>
          </cell>
          <cell r="M455" t="e">
            <v>#N/A</v>
          </cell>
        </row>
        <row r="456">
          <cell r="A456">
            <v>4</v>
          </cell>
          <cell r="B456">
            <v>0</v>
          </cell>
          <cell r="C456" t="str">
            <v>руб</v>
          </cell>
          <cell r="E456">
            <v>0</v>
          </cell>
          <cell r="F456">
            <v>0</v>
          </cell>
          <cell r="H456">
            <v>0</v>
          </cell>
          <cell r="I456" t="e">
            <v>#DIV/0!</v>
          </cell>
          <cell r="J456">
            <v>0</v>
          </cell>
          <cell r="M456" t="e">
            <v>#N/A</v>
          </cell>
        </row>
        <row r="457">
          <cell r="A457">
            <v>5</v>
          </cell>
          <cell r="B457">
            <v>0</v>
          </cell>
          <cell r="C457" t="str">
            <v>руб</v>
          </cell>
          <cell r="E457">
            <v>0</v>
          </cell>
          <cell r="F457">
            <v>0</v>
          </cell>
          <cell r="H457">
            <v>0</v>
          </cell>
          <cell r="I457" t="e">
            <v>#DIV/0!</v>
          </cell>
          <cell r="J457">
            <v>0</v>
          </cell>
          <cell r="M457" t="e">
            <v>#N/A</v>
          </cell>
        </row>
        <row r="458">
          <cell r="A458">
            <v>6</v>
          </cell>
          <cell r="B458">
            <v>0</v>
          </cell>
          <cell r="C458" t="str">
            <v>руб</v>
          </cell>
          <cell r="E458">
            <v>0</v>
          </cell>
          <cell r="F458">
            <v>0</v>
          </cell>
          <cell r="H458">
            <v>0</v>
          </cell>
          <cell r="I458" t="e">
            <v>#DIV/0!</v>
          </cell>
          <cell r="J458">
            <v>0</v>
          </cell>
          <cell r="M458" t="e">
            <v>#N/A</v>
          </cell>
        </row>
        <row r="459">
          <cell r="A459">
            <v>7</v>
          </cell>
          <cell r="B459">
            <v>0</v>
          </cell>
          <cell r="C459" t="str">
            <v>руб</v>
          </cell>
          <cell r="E459">
            <v>0</v>
          </cell>
          <cell r="F459">
            <v>0</v>
          </cell>
          <cell r="H459">
            <v>0</v>
          </cell>
          <cell r="I459" t="e">
            <v>#DIV/0!</v>
          </cell>
          <cell r="J459">
            <v>0</v>
          </cell>
          <cell r="M459" t="e">
            <v>#N/A</v>
          </cell>
        </row>
        <row r="460">
          <cell r="A460">
            <v>8</v>
          </cell>
          <cell r="B460">
            <v>0</v>
          </cell>
          <cell r="C460" t="str">
            <v>руб</v>
          </cell>
          <cell r="E460">
            <v>0</v>
          </cell>
          <cell r="F460">
            <v>0</v>
          </cell>
          <cell r="H460">
            <v>0</v>
          </cell>
          <cell r="I460" t="e">
            <v>#DIV/0!</v>
          </cell>
          <cell r="J460">
            <v>0</v>
          </cell>
          <cell r="M460" t="e">
            <v>#N/A</v>
          </cell>
        </row>
        <row r="461">
          <cell r="A461">
            <v>9</v>
          </cell>
          <cell r="B461">
            <v>0</v>
          </cell>
          <cell r="C461" t="str">
            <v>руб</v>
          </cell>
          <cell r="E461">
            <v>0</v>
          </cell>
          <cell r="F461">
            <v>0</v>
          </cell>
          <cell r="H461">
            <v>0</v>
          </cell>
          <cell r="I461" t="e">
            <v>#DIV/0!</v>
          </cell>
          <cell r="J461">
            <v>0</v>
          </cell>
          <cell r="M461" t="e">
            <v>#N/A</v>
          </cell>
        </row>
        <row r="462">
          <cell r="A462">
            <v>10</v>
          </cell>
          <cell r="B462">
            <v>0</v>
          </cell>
          <cell r="C462" t="str">
            <v>руб</v>
          </cell>
          <cell r="E462">
            <v>0</v>
          </cell>
          <cell r="F462">
            <v>0</v>
          </cell>
          <cell r="H462">
            <v>0</v>
          </cell>
          <cell r="I462" t="e">
            <v>#DIV/0!</v>
          </cell>
          <cell r="J462">
            <v>0</v>
          </cell>
          <cell r="M462" t="e">
            <v>#N/A</v>
          </cell>
        </row>
        <row r="463">
          <cell r="M463" t="e">
            <v>#N/A</v>
          </cell>
        </row>
        <row r="464">
          <cell r="M464" t="e">
            <v>#N/A</v>
          </cell>
        </row>
        <row r="465">
          <cell r="B465" t="str">
            <v>Составил:______________________________</v>
          </cell>
          <cell r="M465" t="e">
            <v>#N/A</v>
          </cell>
        </row>
        <row r="466">
          <cell r="M466" t="e">
            <v>#N/A</v>
          </cell>
        </row>
        <row r="467">
          <cell r="B467" t="str">
            <v>Начальник ТДО: ________________________</v>
          </cell>
        </row>
        <row r="468">
          <cell r="B468" t="str">
            <v>Район: Анапский \ Подъезд к п.Витязево 0+000-3+066  \ Поверхностная обработка (II вариант)</v>
          </cell>
          <cell r="K468">
            <v>9</v>
          </cell>
          <cell r="M468" t="str">
            <v>Анапский</v>
          </cell>
        </row>
        <row r="469">
          <cell r="A469" t="str">
            <v>9-1.1.</v>
          </cell>
          <cell r="B469" t="str">
            <v>Фонд заработной платы</v>
          </cell>
          <cell r="D469">
            <v>12097</v>
          </cell>
          <cell r="F469">
            <v>8248</v>
          </cell>
          <cell r="H469">
            <v>163136.69400000002</v>
          </cell>
          <cell r="I469">
            <v>19.778939621726483</v>
          </cell>
          <cell r="J469">
            <v>154888.69400000002</v>
          </cell>
          <cell r="K469">
            <v>9</v>
          </cell>
          <cell r="L469" t="str">
            <v>1.1.</v>
          </cell>
          <cell r="M469" t="str">
            <v>Анапский</v>
          </cell>
        </row>
        <row r="470">
          <cell r="A470" t="str">
            <v>9-1.1.1.</v>
          </cell>
          <cell r="B470" t="str">
            <v>Основные рабочие</v>
          </cell>
          <cell r="C470" t="str">
            <v>ч/ч</v>
          </cell>
          <cell r="D470">
            <v>7484</v>
          </cell>
          <cell r="E470">
            <v>0.5510422234099412</v>
          </cell>
          <cell r="F470">
            <v>4124</v>
          </cell>
          <cell r="G470">
            <v>12.201000000000002</v>
          </cell>
          <cell r="H470">
            <v>91312.28400000001</v>
          </cell>
          <cell r="I470">
            <v>22.14167895247333</v>
          </cell>
          <cell r="J470">
            <v>87188.28400000001</v>
          </cell>
          <cell r="K470">
            <v>9</v>
          </cell>
          <cell r="L470" t="str">
            <v>1.1.1.</v>
          </cell>
          <cell r="M470" t="str">
            <v>Анапский</v>
          </cell>
        </row>
        <row r="471">
          <cell r="A471" t="str">
            <v>9-1.1.2.</v>
          </cell>
          <cell r="B471" t="str">
            <v>Машинисты</v>
          </cell>
          <cell r="C471" t="str">
            <v>ч/ч</v>
          </cell>
          <cell r="D471">
            <v>4613</v>
          </cell>
          <cell r="E471">
            <v>0.8939952308692825</v>
          </cell>
          <cell r="F471">
            <v>4124</v>
          </cell>
          <cell r="G471">
            <v>15.57</v>
          </cell>
          <cell r="H471">
            <v>71824.41</v>
          </cell>
          <cell r="I471">
            <v>17.41620029097963</v>
          </cell>
          <cell r="J471">
            <v>67700.41</v>
          </cell>
          <cell r="K471">
            <v>9</v>
          </cell>
          <cell r="L471" t="str">
            <v>1.1.2.</v>
          </cell>
          <cell r="M471" t="str">
            <v>Анапский</v>
          </cell>
        </row>
        <row r="472">
          <cell r="M472" t="str">
            <v>Анапский</v>
          </cell>
        </row>
        <row r="473">
          <cell r="A473" t="str">
            <v>9-1.2.</v>
          </cell>
          <cell r="B473" t="str">
            <v>Технические ресурсы по нормам СНиП (без зарботной платы машиниста)</v>
          </cell>
          <cell r="F473">
            <v>256.8</v>
          </cell>
          <cell r="H473">
            <v>14000</v>
          </cell>
          <cell r="I473">
            <v>54.51713395638629</v>
          </cell>
          <cell r="J473">
            <v>13743.2</v>
          </cell>
          <cell r="K473">
            <v>9</v>
          </cell>
          <cell r="L473" t="str">
            <v>1.2.</v>
          </cell>
          <cell r="M473" t="str">
            <v>Анапский</v>
          </cell>
        </row>
        <row r="474">
          <cell r="A474">
            <v>1</v>
          </cell>
          <cell r="B474" t="str">
            <v>Автогрейдер средний</v>
          </cell>
          <cell r="C474" t="str">
            <v>м/ч</v>
          </cell>
          <cell r="D474">
            <v>100</v>
          </cell>
          <cell r="E474">
            <v>2.568</v>
          </cell>
          <cell r="F474">
            <v>256.8</v>
          </cell>
          <cell r="G474">
            <v>140</v>
          </cell>
          <cell r="H474">
            <v>14000</v>
          </cell>
          <cell r="I474">
            <v>54.51713395638629</v>
          </cell>
          <cell r="J474">
            <v>13743.2</v>
          </cell>
          <cell r="M474" t="str">
            <v>Анапский</v>
          </cell>
        </row>
        <row r="475">
          <cell r="A475">
            <v>2</v>
          </cell>
          <cell r="B475" t="str">
            <v>Бульдозер</v>
          </cell>
          <cell r="C475" t="str">
            <v>м/ч</v>
          </cell>
          <cell r="D475">
            <v>1</v>
          </cell>
          <cell r="F475">
            <v>0</v>
          </cell>
          <cell r="H475">
            <v>0</v>
          </cell>
          <cell r="I475" t="e">
            <v>#DIV/0!</v>
          </cell>
          <cell r="J475">
            <v>0</v>
          </cell>
          <cell r="M475" t="str">
            <v>Анапский</v>
          </cell>
        </row>
        <row r="476">
          <cell r="A476">
            <v>3</v>
          </cell>
          <cell r="C476" t="str">
            <v>м/ч</v>
          </cell>
          <cell r="D476">
            <v>1</v>
          </cell>
          <cell r="F476">
            <v>0</v>
          </cell>
          <cell r="H476">
            <v>0</v>
          </cell>
          <cell r="I476" t="e">
            <v>#DIV/0!</v>
          </cell>
          <cell r="J476">
            <v>0</v>
          </cell>
          <cell r="M476" t="str">
            <v>Анапский</v>
          </cell>
        </row>
        <row r="477">
          <cell r="A477">
            <v>4</v>
          </cell>
          <cell r="C477" t="str">
            <v>м/ч</v>
          </cell>
          <cell r="F477">
            <v>0</v>
          </cell>
          <cell r="H477">
            <v>0</v>
          </cell>
          <cell r="I477" t="e">
            <v>#DIV/0!</v>
          </cell>
          <cell r="J477">
            <v>0</v>
          </cell>
          <cell r="M477" t="str">
            <v>Анапский</v>
          </cell>
        </row>
        <row r="478">
          <cell r="A478">
            <v>5</v>
          </cell>
          <cell r="C478" t="str">
            <v>м/ч</v>
          </cell>
          <cell r="F478">
            <v>0</v>
          </cell>
          <cell r="H478">
            <v>0</v>
          </cell>
          <cell r="I478" t="e">
            <v>#DIV/0!</v>
          </cell>
          <cell r="J478">
            <v>0</v>
          </cell>
          <cell r="M478" t="str">
            <v>Анапский</v>
          </cell>
        </row>
        <row r="479">
          <cell r="A479">
            <v>6</v>
          </cell>
          <cell r="C479" t="str">
            <v>м/ч</v>
          </cell>
          <cell r="F479">
            <v>0</v>
          </cell>
          <cell r="H479">
            <v>0</v>
          </cell>
          <cell r="I479" t="e">
            <v>#DIV/0!</v>
          </cell>
          <cell r="J479">
            <v>0</v>
          </cell>
          <cell r="M479" t="str">
            <v>Анапский</v>
          </cell>
        </row>
        <row r="480">
          <cell r="A480">
            <v>7</v>
          </cell>
          <cell r="C480" t="str">
            <v>м/ч</v>
          </cell>
          <cell r="F480">
            <v>0</v>
          </cell>
          <cell r="H480">
            <v>0</v>
          </cell>
          <cell r="I480" t="e">
            <v>#DIV/0!</v>
          </cell>
          <cell r="J480">
            <v>0</v>
          </cell>
          <cell r="M480" t="str">
            <v>Анапский</v>
          </cell>
        </row>
        <row r="481">
          <cell r="A481">
            <v>8</v>
          </cell>
          <cell r="C481" t="str">
            <v>м/ч</v>
          </cell>
          <cell r="F481">
            <v>0</v>
          </cell>
          <cell r="H481">
            <v>0</v>
          </cell>
          <cell r="I481" t="e">
            <v>#DIV/0!</v>
          </cell>
          <cell r="J481">
            <v>0</v>
          </cell>
          <cell r="M481" t="str">
            <v>Анапский</v>
          </cell>
        </row>
        <row r="482">
          <cell r="A482">
            <v>9</v>
          </cell>
          <cell r="C482" t="str">
            <v>м/ч</v>
          </cell>
          <cell r="F482">
            <v>0</v>
          </cell>
          <cell r="H482">
            <v>0</v>
          </cell>
          <cell r="I482" t="e">
            <v>#DIV/0!</v>
          </cell>
          <cell r="J482">
            <v>0</v>
          </cell>
          <cell r="M482" t="str">
            <v>Анапский</v>
          </cell>
        </row>
        <row r="483">
          <cell r="A483">
            <v>10</v>
          </cell>
          <cell r="C483" t="str">
            <v>м/ч</v>
          </cell>
          <cell r="F483">
            <v>0</v>
          </cell>
          <cell r="H483">
            <v>0</v>
          </cell>
          <cell r="I483" t="e">
            <v>#DIV/0!</v>
          </cell>
          <cell r="J483">
            <v>0</v>
          </cell>
          <cell r="M483" t="str">
            <v>Анапский</v>
          </cell>
        </row>
        <row r="484">
          <cell r="M484" t="str">
            <v>Анапский</v>
          </cell>
        </row>
        <row r="485">
          <cell r="A485" t="str">
            <v>9-1.3.</v>
          </cell>
          <cell r="B485" t="str">
            <v>Материалы</v>
          </cell>
          <cell r="F485">
            <v>1246.44</v>
          </cell>
          <cell r="H485">
            <v>24440</v>
          </cell>
          <cell r="I485">
            <v>19.6078431372549</v>
          </cell>
          <cell r="J485">
            <v>23193.56</v>
          </cell>
          <cell r="K485">
            <v>9</v>
          </cell>
          <cell r="L485" t="str">
            <v>1.3.</v>
          </cell>
          <cell r="M485" t="str">
            <v>Анапский</v>
          </cell>
        </row>
        <row r="486">
          <cell r="B486" t="str">
            <v>Материальные ресурсы по нормам СНиП</v>
          </cell>
          <cell r="F486">
            <v>0</v>
          </cell>
          <cell r="H486">
            <v>0</v>
          </cell>
          <cell r="I486" t="e">
            <v>#DIV/0!</v>
          </cell>
          <cell r="J486">
            <v>0</v>
          </cell>
          <cell r="M486" t="str">
            <v>Анапский</v>
          </cell>
        </row>
        <row r="487">
          <cell r="A487">
            <v>1</v>
          </cell>
          <cell r="C487" t="str">
            <v>м3</v>
          </cell>
          <cell r="F487">
            <v>0</v>
          </cell>
          <cell r="H487">
            <v>0</v>
          </cell>
          <cell r="I487" t="e">
            <v>#DIV/0!</v>
          </cell>
          <cell r="J487">
            <v>0</v>
          </cell>
          <cell r="M487" t="str">
            <v>Анапский</v>
          </cell>
        </row>
        <row r="488">
          <cell r="A488">
            <v>2</v>
          </cell>
          <cell r="F488">
            <v>0</v>
          </cell>
          <cell r="H488">
            <v>0</v>
          </cell>
          <cell r="I488" t="e">
            <v>#DIV/0!</v>
          </cell>
          <cell r="J488">
            <v>0</v>
          </cell>
          <cell r="M488" t="str">
            <v>Анапский</v>
          </cell>
        </row>
        <row r="489">
          <cell r="A489">
            <v>3</v>
          </cell>
          <cell r="F489">
            <v>0</v>
          </cell>
          <cell r="H489">
            <v>0</v>
          </cell>
          <cell r="I489" t="e">
            <v>#DIV/0!</v>
          </cell>
          <cell r="J489">
            <v>0</v>
          </cell>
          <cell r="M489" t="str">
            <v>Анапский</v>
          </cell>
        </row>
        <row r="490">
          <cell r="A490">
            <v>4</v>
          </cell>
          <cell r="F490">
            <v>0</v>
          </cell>
          <cell r="H490">
            <v>0</v>
          </cell>
          <cell r="I490" t="e">
            <v>#DIV/0!</v>
          </cell>
          <cell r="J490">
            <v>0</v>
          </cell>
          <cell r="M490" t="str">
            <v>Анапский</v>
          </cell>
        </row>
        <row r="491">
          <cell r="A491">
            <v>5</v>
          </cell>
          <cell r="F491">
            <v>0</v>
          </cell>
          <cell r="H491">
            <v>0</v>
          </cell>
          <cell r="I491" t="e">
            <v>#DIV/0!</v>
          </cell>
          <cell r="J491">
            <v>0</v>
          </cell>
          <cell r="M491" t="str">
            <v>Анапский</v>
          </cell>
        </row>
        <row r="492">
          <cell r="A492">
            <v>6</v>
          </cell>
          <cell r="F492">
            <v>0</v>
          </cell>
          <cell r="H492">
            <v>0</v>
          </cell>
          <cell r="I492" t="e">
            <v>#DIV/0!</v>
          </cell>
          <cell r="J492">
            <v>0</v>
          </cell>
          <cell r="M492" t="str">
            <v>Анапский</v>
          </cell>
        </row>
        <row r="493">
          <cell r="A493">
            <v>7</v>
          </cell>
          <cell r="F493">
            <v>0</v>
          </cell>
          <cell r="H493">
            <v>0</v>
          </cell>
          <cell r="I493" t="e">
            <v>#DIV/0!</v>
          </cell>
          <cell r="J493">
            <v>0</v>
          </cell>
          <cell r="M493" t="str">
            <v>Анапский</v>
          </cell>
        </row>
        <row r="494">
          <cell r="A494">
            <v>8</v>
          </cell>
          <cell r="F494">
            <v>0</v>
          </cell>
          <cell r="H494">
            <v>0</v>
          </cell>
          <cell r="I494" t="e">
            <v>#DIV/0!</v>
          </cell>
          <cell r="J494">
            <v>0</v>
          </cell>
          <cell r="M494" t="str">
            <v>Анапский</v>
          </cell>
        </row>
        <row r="495">
          <cell r="A495">
            <v>9</v>
          </cell>
          <cell r="F495">
            <v>0</v>
          </cell>
          <cell r="H495">
            <v>0</v>
          </cell>
          <cell r="I495" t="e">
            <v>#DIV/0!</v>
          </cell>
          <cell r="J495">
            <v>0</v>
          </cell>
          <cell r="M495" t="str">
            <v>Анапский</v>
          </cell>
        </row>
        <row r="496">
          <cell r="A496">
            <v>10</v>
          </cell>
          <cell r="F496">
            <v>0</v>
          </cell>
          <cell r="H496">
            <v>0</v>
          </cell>
          <cell r="I496" t="e">
            <v>#DIV/0!</v>
          </cell>
          <cell r="J496">
            <v>0</v>
          </cell>
          <cell r="M496" t="str">
            <v>Анапский</v>
          </cell>
        </row>
        <row r="497">
          <cell r="M497" t="str">
            <v>Анапский</v>
          </cell>
        </row>
        <row r="498">
          <cell r="B498" t="str">
            <v>Транспортировка материалов, т (вид транспорта, км)</v>
          </cell>
          <cell r="F498">
            <v>1222</v>
          </cell>
          <cell r="H498">
            <v>24440</v>
          </cell>
          <cell r="I498">
            <v>20</v>
          </cell>
          <cell r="J498">
            <v>23218</v>
          </cell>
          <cell r="M498" t="str">
            <v>Анапский</v>
          </cell>
        </row>
        <row r="499">
          <cell r="A499">
            <v>1</v>
          </cell>
          <cell r="C499" t="str">
            <v>т</v>
          </cell>
          <cell r="D499">
            <v>1222</v>
          </cell>
          <cell r="E499">
            <v>1</v>
          </cell>
          <cell r="F499">
            <v>1222</v>
          </cell>
          <cell r="G499">
            <v>20</v>
          </cell>
          <cell r="H499">
            <v>24440</v>
          </cell>
          <cell r="I499">
            <v>20</v>
          </cell>
          <cell r="J499">
            <v>23218</v>
          </cell>
          <cell r="M499" t="str">
            <v>Анапский</v>
          </cell>
        </row>
        <row r="500">
          <cell r="A500">
            <v>2</v>
          </cell>
          <cell r="C500" t="str">
            <v>т</v>
          </cell>
          <cell r="F500">
            <v>0</v>
          </cell>
          <cell r="H500">
            <v>0</v>
          </cell>
          <cell r="I500" t="e">
            <v>#DIV/0!</v>
          </cell>
          <cell r="J500">
            <v>0</v>
          </cell>
          <cell r="M500" t="str">
            <v>Анапский</v>
          </cell>
        </row>
        <row r="501">
          <cell r="A501">
            <v>3</v>
          </cell>
          <cell r="C501" t="str">
            <v>т</v>
          </cell>
          <cell r="F501">
            <v>0</v>
          </cell>
          <cell r="H501">
            <v>0</v>
          </cell>
          <cell r="I501" t="e">
            <v>#DIV/0!</v>
          </cell>
          <cell r="J501">
            <v>0</v>
          </cell>
          <cell r="M501" t="str">
            <v>Анапский</v>
          </cell>
        </row>
        <row r="502">
          <cell r="A502">
            <v>4</v>
          </cell>
          <cell r="C502" t="str">
            <v>т</v>
          </cell>
          <cell r="F502">
            <v>0</v>
          </cell>
          <cell r="H502">
            <v>0</v>
          </cell>
          <cell r="I502" t="e">
            <v>#DIV/0!</v>
          </cell>
          <cell r="J502">
            <v>0</v>
          </cell>
          <cell r="M502" t="str">
            <v>Анапский</v>
          </cell>
        </row>
        <row r="503">
          <cell r="A503">
            <v>5</v>
          </cell>
          <cell r="C503" t="str">
            <v>т</v>
          </cell>
          <cell r="F503">
            <v>0</v>
          </cell>
          <cell r="H503">
            <v>0</v>
          </cell>
          <cell r="I503" t="e">
            <v>#DIV/0!</v>
          </cell>
          <cell r="J503">
            <v>0</v>
          </cell>
          <cell r="M503" t="str">
            <v>Анапский</v>
          </cell>
        </row>
        <row r="504">
          <cell r="A504">
            <v>6</v>
          </cell>
          <cell r="C504" t="str">
            <v>т</v>
          </cell>
          <cell r="F504">
            <v>0</v>
          </cell>
          <cell r="H504">
            <v>0</v>
          </cell>
          <cell r="I504" t="e">
            <v>#DIV/0!</v>
          </cell>
          <cell r="J504">
            <v>0</v>
          </cell>
          <cell r="M504" t="str">
            <v>Анапский</v>
          </cell>
        </row>
        <row r="505">
          <cell r="A505">
            <v>7</v>
          </cell>
          <cell r="C505" t="str">
            <v>т</v>
          </cell>
          <cell r="F505">
            <v>0</v>
          </cell>
          <cell r="H505">
            <v>0</v>
          </cell>
          <cell r="I505" t="e">
            <v>#DIV/0!</v>
          </cell>
          <cell r="J505">
            <v>0</v>
          </cell>
          <cell r="M505" t="str">
            <v>Анапский</v>
          </cell>
        </row>
        <row r="506">
          <cell r="A506">
            <v>8</v>
          </cell>
          <cell r="C506" t="str">
            <v>т</v>
          </cell>
          <cell r="F506">
            <v>0</v>
          </cell>
          <cell r="H506">
            <v>0</v>
          </cell>
          <cell r="I506" t="e">
            <v>#DIV/0!</v>
          </cell>
          <cell r="J506">
            <v>0</v>
          </cell>
          <cell r="M506" t="str">
            <v>Анапский</v>
          </cell>
        </row>
        <row r="507">
          <cell r="A507">
            <v>9</v>
          </cell>
          <cell r="C507" t="str">
            <v>т</v>
          </cell>
          <cell r="F507">
            <v>0</v>
          </cell>
          <cell r="H507">
            <v>0</v>
          </cell>
          <cell r="I507" t="e">
            <v>#DIV/0!</v>
          </cell>
          <cell r="J507">
            <v>0</v>
          </cell>
          <cell r="M507" t="str">
            <v>Анапский</v>
          </cell>
        </row>
        <row r="508">
          <cell r="A508">
            <v>10</v>
          </cell>
          <cell r="C508" t="str">
            <v>т</v>
          </cell>
          <cell r="F508">
            <v>0</v>
          </cell>
          <cell r="H508">
            <v>0</v>
          </cell>
          <cell r="I508" t="e">
            <v>#DIV/0!</v>
          </cell>
          <cell r="J508">
            <v>0</v>
          </cell>
          <cell r="M508" t="str">
            <v>Анапский</v>
          </cell>
        </row>
        <row r="509">
          <cell r="M509" t="str">
            <v>Анапский</v>
          </cell>
        </row>
        <row r="510">
          <cell r="B510" t="str">
            <v>Заготовительно-складские расходы</v>
          </cell>
          <cell r="F510">
            <v>24.44</v>
          </cell>
          <cell r="H510">
            <v>0</v>
          </cell>
          <cell r="I510">
            <v>0</v>
          </cell>
          <cell r="J510">
            <v>-24.44</v>
          </cell>
          <cell r="M510" t="str">
            <v>Анапский</v>
          </cell>
        </row>
        <row r="511">
          <cell r="A511">
            <v>1</v>
          </cell>
          <cell r="B511">
            <v>0</v>
          </cell>
          <cell r="C511" t="str">
            <v>руб</v>
          </cell>
          <cell r="D511">
            <v>0.02</v>
          </cell>
          <cell r="E511">
            <v>1222</v>
          </cell>
          <cell r="F511">
            <v>24.44</v>
          </cell>
          <cell r="H511">
            <v>0</v>
          </cell>
          <cell r="I511">
            <v>0</v>
          </cell>
          <cell r="J511">
            <v>-24.44</v>
          </cell>
          <cell r="M511" t="str">
            <v>Анапский</v>
          </cell>
        </row>
        <row r="512">
          <cell r="A512">
            <v>2</v>
          </cell>
          <cell r="B512">
            <v>0</v>
          </cell>
          <cell r="C512" t="str">
            <v>руб</v>
          </cell>
          <cell r="E512">
            <v>0</v>
          </cell>
          <cell r="F512">
            <v>0</v>
          </cell>
          <cell r="H512">
            <v>0</v>
          </cell>
          <cell r="I512" t="e">
            <v>#DIV/0!</v>
          </cell>
          <cell r="J512">
            <v>0</v>
          </cell>
          <cell r="M512" t="str">
            <v>Анапский</v>
          </cell>
        </row>
        <row r="513">
          <cell r="A513">
            <v>3</v>
          </cell>
          <cell r="B513">
            <v>0</v>
          </cell>
          <cell r="C513" t="str">
            <v>руб</v>
          </cell>
          <cell r="E513">
            <v>0</v>
          </cell>
          <cell r="F513">
            <v>0</v>
          </cell>
          <cell r="H513">
            <v>0</v>
          </cell>
          <cell r="I513" t="e">
            <v>#DIV/0!</v>
          </cell>
          <cell r="J513">
            <v>0</v>
          </cell>
          <cell r="M513" t="str">
            <v>Анапский</v>
          </cell>
        </row>
        <row r="514">
          <cell r="A514">
            <v>4</v>
          </cell>
          <cell r="B514">
            <v>0</v>
          </cell>
          <cell r="C514" t="str">
            <v>руб</v>
          </cell>
          <cell r="E514">
            <v>0</v>
          </cell>
          <cell r="F514">
            <v>0</v>
          </cell>
          <cell r="H514">
            <v>0</v>
          </cell>
          <cell r="I514" t="e">
            <v>#DIV/0!</v>
          </cell>
          <cell r="J514">
            <v>0</v>
          </cell>
          <cell r="M514" t="str">
            <v>Анапский</v>
          </cell>
        </row>
        <row r="515">
          <cell r="A515">
            <v>5</v>
          </cell>
          <cell r="B515">
            <v>0</v>
          </cell>
          <cell r="C515" t="str">
            <v>руб</v>
          </cell>
          <cell r="E515">
            <v>0</v>
          </cell>
          <cell r="F515">
            <v>0</v>
          </cell>
          <cell r="H515">
            <v>0</v>
          </cell>
          <cell r="I515" t="e">
            <v>#DIV/0!</v>
          </cell>
          <cell r="J515">
            <v>0</v>
          </cell>
          <cell r="M515" t="str">
            <v>Анапский</v>
          </cell>
        </row>
        <row r="516">
          <cell r="A516">
            <v>6</v>
          </cell>
          <cell r="B516">
            <v>0</v>
          </cell>
          <cell r="C516" t="str">
            <v>руб</v>
          </cell>
          <cell r="E516">
            <v>0</v>
          </cell>
          <cell r="F516">
            <v>0</v>
          </cell>
          <cell r="H516">
            <v>0</v>
          </cell>
          <cell r="I516" t="e">
            <v>#DIV/0!</v>
          </cell>
          <cell r="J516">
            <v>0</v>
          </cell>
          <cell r="M516" t="str">
            <v>Анапский</v>
          </cell>
        </row>
        <row r="517">
          <cell r="A517">
            <v>7</v>
          </cell>
          <cell r="B517">
            <v>0</v>
          </cell>
          <cell r="C517" t="str">
            <v>руб</v>
          </cell>
          <cell r="E517">
            <v>0</v>
          </cell>
          <cell r="F517">
            <v>0</v>
          </cell>
          <cell r="H517">
            <v>0</v>
          </cell>
          <cell r="I517" t="e">
            <v>#DIV/0!</v>
          </cell>
          <cell r="J517">
            <v>0</v>
          </cell>
          <cell r="M517" t="str">
            <v>Анапский</v>
          </cell>
        </row>
        <row r="518">
          <cell r="A518">
            <v>8</v>
          </cell>
          <cell r="B518">
            <v>0</v>
          </cell>
          <cell r="C518" t="str">
            <v>руб</v>
          </cell>
          <cell r="E518">
            <v>0</v>
          </cell>
          <cell r="F518">
            <v>0</v>
          </cell>
          <cell r="H518">
            <v>0</v>
          </cell>
          <cell r="I518" t="e">
            <v>#DIV/0!</v>
          </cell>
          <cell r="J518">
            <v>0</v>
          </cell>
          <cell r="M518" t="str">
            <v>Анапский</v>
          </cell>
        </row>
        <row r="519">
          <cell r="A519">
            <v>9</v>
          </cell>
          <cell r="B519">
            <v>0</v>
          </cell>
          <cell r="C519" t="str">
            <v>руб</v>
          </cell>
          <cell r="E519">
            <v>0</v>
          </cell>
          <cell r="F519">
            <v>0</v>
          </cell>
          <cell r="H519">
            <v>0</v>
          </cell>
          <cell r="I519" t="e">
            <v>#DIV/0!</v>
          </cell>
          <cell r="J519">
            <v>0</v>
          </cell>
          <cell r="M519" t="str">
            <v>Анапский</v>
          </cell>
        </row>
        <row r="520">
          <cell r="A520">
            <v>10</v>
          </cell>
          <cell r="B520">
            <v>0</v>
          </cell>
          <cell r="C520" t="str">
            <v>руб</v>
          </cell>
          <cell r="E520">
            <v>0</v>
          </cell>
          <cell r="F520">
            <v>0</v>
          </cell>
          <cell r="H520">
            <v>0</v>
          </cell>
          <cell r="I520" t="e">
            <v>#DIV/0!</v>
          </cell>
          <cell r="J520">
            <v>0</v>
          </cell>
          <cell r="M520" t="str">
            <v>Анапский</v>
          </cell>
        </row>
        <row r="521">
          <cell r="M521" t="str">
            <v>Анапский</v>
          </cell>
        </row>
        <row r="522">
          <cell r="M522" t="str">
            <v>Анапский</v>
          </cell>
        </row>
        <row r="523">
          <cell r="B523" t="str">
            <v>Составил:______________________________</v>
          </cell>
          <cell r="M523" t="str">
            <v>Анапский</v>
          </cell>
        </row>
        <row r="524">
          <cell r="M524" t="str">
            <v>Анапский</v>
          </cell>
        </row>
        <row r="525">
          <cell r="B525" t="str">
            <v>Начальник ТДО: ________________________</v>
          </cell>
        </row>
        <row r="526">
          <cell r="B526" t="str">
            <v>Район: Анапский \ Подъезд  к х. Цибанобалка  км 0+000-2+081 \ Поверхностная обработка (II вариант)</v>
          </cell>
          <cell r="K526">
            <v>10</v>
          </cell>
          <cell r="M526" t="str">
            <v>Анапский</v>
          </cell>
        </row>
        <row r="527">
          <cell r="A527" t="str">
            <v>10-1.1.</v>
          </cell>
          <cell r="B527" t="str">
            <v>Фонд заработной платы</v>
          </cell>
          <cell r="D527">
            <v>12097</v>
          </cell>
          <cell r="F527">
            <v>8248</v>
          </cell>
          <cell r="H527">
            <v>163136.69400000002</v>
          </cell>
          <cell r="I527">
            <v>19.778939621726483</v>
          </cell>
          <cell r="J527">
            <v>154888.69400000002</v>
          </cell>
          <cell r="K527">
            <v>10</v>
          </cell>
          <cell r="L527" t="str">
            <v>1.1.</v>
          </cell>
          <cell r="M527" t="str">
            <v>Анапский</v>
          </cell>
        </row>
        <row r="528">
          <cell r="A528" t="str">
            <v>10-1.1.1.</v>
          </cell>
          <cell r="B528" t="str">
            <v>Основные рабочие</v>
          </cell>
          <cell r="C528" t="str">
            <v>ч/ч</v>
          </cell>
          <cell r="D528">
            <v>7484</v>
          </cell>
          <cell r="E528">
            <v>0.5510422234099412</v>
          </cell>
          <cell r="F528">
            <v>4124</v>
          </cell>
          <cell r="G528">
            <v>12.201000000000002</v>
          </cell>
          <cell r="H528">
            <v>91312.28400000001</v>
          </cell>
          <cell r="I528">
            <v>22.14167895247333</v>
          </cell>
          <cell r="J528">
            <v>87188.28400000001</v>
          </cell>
          <cell r="K528">
            <v>10</v>
          </cell>
          <cell r="L528" t="str">
            <v>1.1.1.</v>
          </cell>
          <cell r="M528" t="str">
            <v>Анапский</v>
          </cell>
        </row>
        <row r="529">
          <cell r="A529" t="str">
            <v>10-1.1.2.</v>
          </cell>
          <cell r="B529" t="str">
            <v>Машинисты</v>
          </cell>
          <cell r="C529" t="str">
            <v>ч/ч</v>
          </cell>
          <cell r="D529">
            <v>4613</v>
          </cell>
          <cell r="E529">
            <v>0.8939952308692825</v>
          </cell>
          <cell r="F529">
            <v>4124</v>
          </cell>
          <cell r="G529">
            <v>15.57</v>
          </cell>
          <cell r="H529">
            <v>71824.41</v>
          </cell>
          <cell r="I529">
            <v>17.41620029097963</v>
          </cell>
          <cell r="J529">
            <v>67700.41</v>
          </cell>
          <cell r="K529">
            <v>10</v>
          </cell>
          <cell r="L529" t="str">
            <v>1.1.2.</v>
          </cell>
          <cell r="M529" t="str">
            <v>Анапский</v>
          </cell>
        </row>
        <row r="530">
          <cell r="M530" t="str">
            <v>Анапский</v>
          </cell>
        </row>
        <row r="531">
          <cell r="A531" t="str">
            <v>10-1.2.</v>
          </cell>
          <cell r="B531" t="str">
            <v>Технические ресурсы по нормам СНиП (без зарботной платы машиниста)</v>
          </cell>
          <cell r="F531">
            <v>256.8</v>
          </cell>
          <cell r="H531">
            <v>14000</v>
          </cell>
          <cell r="I531">
            <v>54.51713395638629</v>
          </cell>
          <cell r="J531">
            <v>13743.2</v>
          </cell>
          <cell r="K531">
            <v>10</v>
          </cell>
          <cell r="L531" t="str">
            <v>1.2.</v>
          </cell>
          <cell r="M531" t="str">
            <v>Анапский</v>
          </cell>
        </row>
        <row r="532">
          <cell r="A532">
            <v>1</v>
          </cell>
          <cell r="B532" t="str">
            <v>Автогрейдер средний</v>
          </cell>
          <cell r="C532" t="str">
            <v>м/ч</v>
          </cell>
          <cell r="D532">
            <v>100</v>
          </cell>
          <cell r="E532">
            <v>2.568</v>
          </cell>
          <cell r="F532">
            <v>256.8</v>
          </cell>
          <cell r="G532">
            <v>140</v>
          </cell>
          <cell r="H532">
            <v>14000</v>
          </cell>
          <cell r="I532">
            <v>54.51713395638629</v>
          </cell>
          <cell r="J532">
            <v>13743.2</v>
          </cell>
          <cell r="M532" t="str">
            <v>Анапский</v>
          </cell>
        </row>
        <row r="533">
          <cell r="A533">
            <v>2</v>
          </cell>
          <cell r="B533" t="str">
            <v>Бульдозер</v>
          </cell>
          <cell r="C533" t="str">
            <v>м/ч</v>
          </cell>
          <cell r="D533">
            <v>1</v>
          </cell>
          <cell r="F533">
            <v>0</v>
          </cell>
          <cell r="H533">
            <v>0</v>
          </cell>
          <cell r="I533" t="e">
            <v>#DIV/0!</v>
          </cell>
          <cell r="J533">
            <v>0</v>
          </cell>
          <cell r="M533" t="str">
            <v>Анапский</v>
          </cell>
        </row>
        <row r="534">
          <cell r="A534">
            <v>3</v>
          </cell>
          <cell r="C534" t="str">
            <v>м/ч</v>
          </cell>
          <cell r="D534">
            <v>1</v>
          </cell>
          <cell r="F534">
            <v>0</v>
          </cell>
          <cell r="H534">
            <v>0</v>
          </cell>
          <cell r="I534" t="e">
            <v>#DIV/0!</v>
          </cell>
          <cell r="J534">
            <v>0</v>
          </cell>
          <cell r="M534" t="str">
            <v>Анапский</v>
          </cell>
        </row>
        <row r="535">
          <cell r="A535">
            <v>4</v>
          </cell>
          <cell r="C535" t="str">
            <v>м/ч</v>
          </cell>
          <cell r="F535">
            <v>0</v>
          </cell>
          <cell r="H535">
            <v>0</v>
          </cell>
          <cell r="I535" t="e">
            <v>#DIV/0!</v>
          </cell>
          <cell r="J535">
            <v>0</v>
          </cell>
          <cell r="M535" t="str">
            <v>Анапский</v>
          </cell>
        </row>
        <row r="536">
          <cell r="A536">
            <v>5</v>
          </cell>
          <cell r="C536" t="str">
            <v>м/ч</v>
          </cell>
          <cell r="F536">
            <v>0</v>
          </cell>
          <cell r="H536">
            <v>0</v>
          </cell>
          <cell r="I536" t="e">
            <v>#DIV/0!</v>
          </cell>
          <cell r="J536">
            <v>0</v>
          </cell>
          <cell r="M536" t="str">
            <v>Анапский</v>
          </cell>
        </row>
        <row r="537">
          <cell r="A537">
            <v>6</v>
          </cell>
          <cell r="C537" t="str">
            <v>м/ч</v>
          </cell>
          <cell r="F537">
            <v>0</v>
          </cell>
          <cell r="H537">
            <v>0</v>
          </cell>
          <cell r="I537" t="e">
            <v>#DIV/0!</v>
          </cell>
          <cell r="J537">
            <v>0</v>
          </cell>
          <cell r="M537" t="str">
            <v>Анапский</v>
          </cell>
        </row>
        <row r="538">
          <cell r="A538">
            <v>7</v>
          </cell>
          <cell r="C538" t="str">
            <v>м/ч</v>
          </cell>
          <cell r="F538">
            <v>0</v>
          </cell>
          <cell r="H538">
            <v>0</v>
          </cell>
          <cell r="I538" t="e">
            <v>#DIV/0!</v>
          </cell>
          <cell r="J538">
            <v>0</v>
          </cell>
          <cell r="M538" t="str">
            <v>Анапский</v>
          </cell>
        </row>
        <row r="539">
          <cell r="A539">
            <v>8</v>
          </cell>
          <cell r="C539" t="str">
            <v>м/ч</v>
          </cell>
          <cell r="F539">
            <v>0</v>
          </cell>
          <cell r="H539">
            <v>0</v>
          </cell>
          <cell r="I539" t="e">
            <v>#DIV/0!</v>
          </cell>
          <cell r="J539">
            <v>0</v>
          </cell>
          <cell r="M539" t="str">
            <v>Анапский</v>
          </cell>
        </row>
        <row r="540">
          <cell r="A540">
            <v>9</v>
          </cell>
          <cell r="C540" t="str">
            <v>м/ч</v>
          </cell>
          <cell r="F540">
            <v>0</v>
          </cell>
          <cell r="H540">
            <v>0</v>
          </cell>
          <cell r="I540" t="e">
            <v>#DIV/0!</v>
          </cell>
          <cell r="J540">
            <v>0</v>
          </cell>
          <cell r="M540" t="str">
            <v>Анапский</v>
          </cell>
        </row>
        <row r="541">
          <cell r="A541">
            <v>10</v>
          </cell>
          <cell r="C541" t="str">
            <v>м/ч</v>
          </cell>
          <cell r="F541">
            <v>0</v>
          </cell>
          <cell r="H541">
            <v>0</v>
          </cell>
          <cell r="I541" t="e">
            <v>#DIV/0!</v>
          </cell>
          <cell r="J541">
            <v>0</v>
          </cell>
          <cell r="M541" t="str">
            <v>Анапский</v>
          </cell>
        </row>
        <row r="542">
          <cell r="M542" t="str">
            <v>Анапский</v>
          </cell>
        </row>
        <row r="543">
          <cell r="A543" t="str">
            <v>10-1.3.</v>
          </cell>
          <cell r="B543" t="str">
            <v>Материалы</v>
          </cell>
          <cell r="F543">
            <v>1246.44</v>
          </cell>
          <cell r="H543">
            <v>24440</v>
          </cell>
          <cell r="I543">
            <v>19.6078431372549</v>
          </cell>
          <cell r="J543">
            <v>23193.56</v>
          </cell>
          <cell r="K543">
            <v>10</v>
          </cell>
          <cell r="L543" t="str">
            <v>1.3.</v>
          </cell>
          <cell r="M543" t="str">
            <v>Анапский</v>
          </cell>
        </row>
        <row r="544">
          <cell r="B544" t="str">
            <v>Материальные ресурсы по нормам СНиП</v>
          </cell>
          <cell r="F544">
            <v>0</v>
          </cell>
          <cell r="H544">
            <v>0</v>
          </cell>
          <cell r="I544" t="e">
            <v>#DIV/0!</v>
          </cell>
          <cell r="J544">
            <v>0</v>
          </cell>
          <cell r="M544" t="str">
            <v>Анапский</v>
          </cell>
        </row>
        <row r="545">
          <cell r="A545">
            <v>1</v>
          </cell>
          <cell r="C545" t="str">
            <v>м3</v>
          </cell>
          <cell r="F545">
            <v>0</v>
          </cell>
          <cell r="H545">
            <v>0</v>
          </cell>
          <cell r="I545" t="e">
            <v>#DIV/0!</v>
          </cell>
          <cell r="J545">
            <v>0</v>
          </cell>
          <cell r="M545" t="str">
            <v>Анапский</v>
          </cell>
        </row>
        <row r="546">
          <cell r="A546">
            <v>2</v>
          </cell>
          <cell r="F546">
            <v>0</v>
          </cell>
          <cell r="H546">
            <v>0</v>
          </cell>
          <cell r="I546" t="e">
            <v>#DIV/0!</v>
          </cell>
          <cell r="J546">
            <v>0</v>
          </cell>
          <cell r="M546" t="str">
            <v>Анапский</v>
          </cell>
        </row>
        <row r="547">
          <cell r="A547">
            <v>3</v>
          </cell>
          <cell r="F547">
            <v>0</v>
          </cell>
          <cell r="H547">
            <v>0</v>
          </cell>
          <cell r="I547" t="e">
            <v>#DIV/0!</v>
          </cell>
          <cell r="J547">
            <v>0</v>
          </cell>
          <cell r="M547" t="str">
            <v>Анапский</v>
          </cell>
        </row>
        <row r="548">
          <cell r="A548">
            <v>4</v>
          </cell>
          <cell r="F548">
            <v>0</v>
          </cell>
          <cell r="H548">
            <v>0</v>
          </cell>
          <cell r="I548" t="e">
            <v>#DIV/0!</v>
          </cell>
          <cell r="J548">
            <v>0</v>
          </cell>
          <cell r="M548" t="str">
            <v>Анапский</v>
          </cell>
        </row>
        <row r="549">
          <cell r="A549">
            <v>5</v>
          </cell>
          <cell r="F549">
            <v>0</v>
          </cell>
          <cell r="H549">
            <v>0</v>
          </cell>
          <cell r="I549" t="e">
            <v>#DIV/0!</v>
          </cell>
          <cell r="J549">
            <v>0</v>
          </cell>
          <cell r="M549" t="str">
            <v>Анапский</v>
          </cell>
        </row>
        <row r="550">
          <cell r="A550">
            <v>6</v>
          </cell>
          <cell r="F550">
            <v>0</v>
          </cell>
          <cell r="H550">
            <v>0</v>
          </cell>
          <cell r="I550" t="e">
            <v>#DIV/0!</v>
          </cell>
          <cell r="J550">
            <v>0</v>
          </cell>
          <cell r="M550" t="str">
            <v>Анапский</v>
          </cell>
        </row>
        <row r="551">
          <cell r="A551">
            <v>7</v>
          </cell>
          <cell r="F551">
            <v>0</v>
          </cell>
          <cell r="H551">
            <v>0</v>
          </cell>
          <cell r="I551" t="e">
            <v>#DIV/0!</v>
          </cell>
          <cell r="J551">
            <v>0</v>
          </cell>
          <cell r="M551" t="str">
            <v>Анапский</v>
          </cell>
        </row>
        <row r="552">
          <cell r="A552">
            <v>8</v>
          </cell>
          <cell r="F552">
            <v>0</v>
          </cell>
          <cell r="H552">
            <v>0</v>
          </cell>
          <cell r="I552" t="e">
            <v>#DIV/0!</v>
          </cell>
          <cell r="J552">
            <v>0</v>
          </cell>
          <cell r="M552" t="str">
            <v>Анапский</v>
          </cell>
        </row>
        <row r="553">
          <cell r="A553">
            <v>9</v>
          </cell>
          <cell r="F553">
            <v>0</v>
          </cell>
          <cell r="H553">
            <v>0</v>
          </cell>
          <cell r="I553" t="e">
            <v>#DIV/0!</v>
          </cell>
          <cell r="J553">
            <v>0</v>
          </cell>
          <cell r="M553" t="str">
            <v>Анапский</v>
          </cell>
        </row>
        <row r="554">
          <cell r="A554">
            <v>10</v>
          </cell>
          <cell r="F554">
            <v>0</v>
          </cell>
          <cell r="H554">
            <v>0</v>
          </cell>
          <cell r="I554" t="e">
            <v>#DIV/0!</v>
          </cell>
          <cell r="J554">
            <v>0</v>
          </cell>
          <cell r="M554" t="str">
            <v>Анапский</v>
          </cell>
        </row>
        <row r="555">
          <cell r="M555" t="str">
            <v>Анапский</v>
          </cell>
        </row>
        <row r="556">
          <cell r="B556" t="str">
            <v>Транспортировка материалов, т (вид транспорта, км)</v>
          </cell>
          <cell r="F556">
            <v>1222</v>
          </cell>
          <cell r="H556">
            <v>24440</v>
          </cell>
          <cell r="I556">
            <v>20</v>
          </cell>
          <cell r="J556">
            <v>23218</v>
          </cell>
          <cell r="M556" t="str">
            <v>Анапский</v>
          </cell>
        </row>
        <row r="557">
          <cell r="A557">
            <v>1</v>
          </cell>
          <cell r="C557" t="str">
            <v>т</v>
          </cell>
          <cell r="D557">
            <v>1222</v>
          </cell>
          <cell r="E557">
            <v>1</v>
          </cell>
          <cell r="F557">
            <v>1222</v>
          </cell>
          <cell r="G557">
            <v>20</v>
          </cell>
          <cell r="H557">
            <v>24440</v>
          </cell>
          <cell r="I557">
            <v>20</v>
          </cell>
          <cell r="J557">
            <v>23218</v>
          </cell>
          <cell r="M557" t="str">
            <v>Анапский</v>
          </cell>
        </row>
        <row r="558">
          <cell r="A558">
            <v>2</v>
          </cell>
          <cell r="C558" t="str">
            <v>т</v>
          </cell>
          <cell r="F558">
            <v>0</v>
          </cell>
          <cell r="H558">
            <v>0</v>
          </cell>
          <cell r="I558" t="e">
            <v>#DIV/0!</v>
          </cell>
          <cell r="J558">
            <v>0</v>
          </cell>
          <cell r="M558" t="str">
            <v>Анапский</v>
          </cell>
        </row>
        <row r="559">
          <cell r="A559">
            <v>3</v>
          </cell>
          <cell r="C559" t="str">
            <v>т</v>
          </cell>
          <cell r="F559">
            <v>0</v>
          </cell>
          <cell r="H559">
            <v>0</v>
          </cell>
          <cell r="I559" t="e">
            <v>#DIV/0!</v>
          </cell>
          <cell r="J559">
            <v>0</v>
          </cell>
          <cell r="M559" t="str">
            <v>Анапский</v>
          </cell>
        </row>
        <row r="560">
          <cell r="A560">
            <v>4</v>
          </cell>
          <cell r="C560" t="str">
            <v>т</v>
          </cell>
          <cell r="F560">
            <v>0</v>
          </cell>
          <cell r="H560">
            <v>0</v>
          </cell>
          <cell r="I560" t="e">
            <v>#DIV/0!</v>
          </cell>
          <cell r="J560">
            <v>0</v>
          </cell>
          <cell r="M560" t="str">
            <v>Анапский</v>
          </cell>
        </row>
        <row r="561">
          <cell r="A561">
            <v>5</v>
          </cell>
          <cell r="C561" t="str">
            <v>т</v>
          </cell>
          <cell r="F561">
            <v>0</v>
          </cell>
          <cell r="H561">
            <v>0</v>
          </cell>
          <cell r="I561" t="e">
            <v>#DIV/0!</v>
          </cell>
          <cell r="J561">
            <v>0</v>
          </cell>
          <cell r="M561" t="str">
            <v>Анапский</v>
          </cell>
        </row>
        <row r="562">
          <cell r="A562">
            <v>6</v>
          </cell>
          <cell r="C562" t="str">
            <v>т</v>
          </cell>
          <cell r="F562">
            <v>0</v>
          </cell>
          <cell r="H562">
            <v>0</v>
          </cell>
          <cell r="I562" t="e">
            <v>#DIV/0!</v>
          </cell>
          <cell r="J562">
            <v>0</v>
          </cell>
          <cell r="M562" t="str">
            <v>Анапский</v>
          </cell>
        </row>
        <row r="563">
          <cell r="A563">
            <v>7</v>
          </cell>
          <cell r="C563" t="str">
            <v>т</v>
          </cell>
          <cell r="F563">
            <v>0</v>
          </cell>
          <cell r="H563">
            <v>0</v>
          </cell>
          <cell r="I563" t="e">
            <v>#DIV/0!</v>
          </cell>
          <cell r="J563">
            <v>0</v>
          </cell>
          <cell r="M563" t="str">
            <v>Анапский</v>
          </cell>
        </row>
        <row r="564">
          <cell r="A564">
            <v>8</v>
          </cell>
          <cell r="C564" t="str">
            <v>т</v>
          </cell>
          <cell r="F564">
            <v>0</v>
          </cell>
          <cell r="H564">
            <v>0</v>
          </cell>
          <cell r="I564" t="e">
            <v>#DIV/0!</v>
          </cell>
          <cell r="J564">
            <v>0</v>
          </cell>
          <cell r="M564" t="str">
            <v>Анапский</v>
          </cell>
        </row>
        <row r="565">
          <cell r="A565">
            <v>9</v>
          </cell>
          <cell r="C565" t="str">
            <v>т</v>
          </cell>
          <cell r="F565">
            <v>0</v>
          </cell>
          <cell r="H565">
            <v>0</v>
          </cell>
          <cell r="I565" t="e">
            <v>#DIV/0!</v>
          </cell>
          <cell r="J565">
            <v>0</v>
          </cell>
          <cell r="M565" t="str">
            <v>Анапский</v>
          </cell>
        </row>
        <row r="566">
          <cell r="A566">
            <v>10</v>
          </cell>
          <cell r="C566" t="str">
            <v>т</v>
          </cell>
          <cell r="F566">
            <v>0</v>
          </cell>
          <cell r="H566">
            <v>0</v>
          </cell>
          <cell r="I566" t="e">
            <v>#DIV/0!</v>
          </cell>
          <cell r="J566">
            <v>0</v>
          </cell>
          <cell r="M566" t="str">
            <v>Анапский</v>
          </cell>
        </row>
        <row r="567">
          <cell r="M567" t="str">
            <v>Анапский</v>
          </cell>
        </row>
        <row r="568">
          <cell r="B568" t="str">
            <v>Заготовительно-складские расходы</v>
          </cell>
          <cell r="F568">
            <v>24.44</v>
          </cell>
          <cell r="H568">
            <v>0</v>
          </cell>
          <cell r="I568">
            <v>0</v>
          </cell>
          <cell r="J568">
            <v>-24.44</v>
          </cell>
          <cell r="M568" t="str">
            <v>Анапский</v>
          </cell>
        </row>
        <row r="569">
          <cell r="A569">
            <v>1</v>
          </cell>
          <cell r="B569">
            <v>0</v>
          </cell>
          <cell r="C569" t="str">
            <v>руб</v>
          </cell>
          <cell r="D569">
            <v>0.02</v>
          </cell>
          <cell r="E569">
            <v>1222</v>
          </cell>
          <cell r="F569">
            <v>24.44</v>
          </cell>
          <cell r="H569">
            <v>0</v>
          </cell>
          <cell r="I569">
            <v>0</v>
          </cell>
          <cell r="J569">
            <v>-24.44</v>
          </cell>
          <cell r="M569" t="str">
            <v>Анапский</v>
          </cell>
        </row>
        <row r="570">
          <cell r="A570">
            <v>2</v>
          </cell>
          <cell r="B570">
            <v>0</v>
          </cell>
          <cell r="C570" t="str">
            <v>руб</v>
          </cell>
          <cell r="E570">
            <v>0</v>
          </cell>
          <cell r="F570">
            <v>0</v>
          </cell>
          <cell r="H570">
            <v>0</v>
          </cell>
          <cell r="I570" t="e">
            <v>#DIV/0!</v>
          </cell>
          <cell r="J570">
            <v>0</v>
          </cell>
          <cell r="M570" t="str">
            <v>Анапский</v>
          </cell>
        </row>
        <row r="571">
          <cell r="A571">
            <v>3</v>
          </cell>
          <cell r="B571">
            <v>0</v>
          </cell>
          <cell r="C571" t="str">
            <v>руб</v>
          </cell>
          <cell r="E571">
            <v>0</v>
          </cell>
          <cell r="F571">
            <v>0</v>
          </cell>
          <cell r="H571">
            <v>0</v>
          </cell>
          <cell r="I571" t="e">
            <v>#DIV/0!</v>
          </cell>
          <cell r="J571">
            <v>0</v>
          </cell>
          <cell r="M571" t="str">
            <v>Анапский</v>
          </cell>
        </row>
        <row r="572">
          <cell r="A572">
            <v>4</v>
          </cell>
          <cell r="B572">
            <v>0</v>
          </cell>
          <cell r="C572" t="str">
            <v>руб</v>
          </cell>
          <cell r="E572">
            <v>0</v>
          </cell>
          <cell r="F572">
            <v>0</v>
          </cell>
          <cell r="H572">
            <v>0</v>
          </cell>
          <cell r="I572" t="e">
            <v>#DIV/0!</v>
          </cell>
          <cell r="J572">
            <v>0</v>
          </cell>
          <cell r="M572" t="str">
            <v>Анапский</v>
          </cell>
        </row>
        <row r="573">
          <cell r="A573">
            <v>5</v>
          </cell>
          <cell r="B573">
            <v>0</v>
          </cell>
          <cell r="C573" t="str">
            <v>руб</v>
          </cell>
          <cell r="E573">
            <v>0</v>
          </cell>
          <cell r="F573">
            <v>0</v>
          </cell>
          <cell r="H573">
            <v>0</v>
          </cell>
          <cell r="I573" t="e">
            <v>#DIV/0!</v>
          </cell>
          <cell r="J573">
            <v>0</v>
          </cell>
          <cell r="M573" t="str">
            <v>Анапский</v>
          </cell>
        </row>
        <row r="574">
          <cell r="A574">
            <v>6</v>
          </cell>
          <cell r="B574">
            <v>0</v>
          </cell>
          <cell r="C574" t="str">
            <v>руб</v>
          </cell>
          <cell r="E574">
            <v>0</v>
          </cell>
          <cell r="F574">
            <v>0</v>
          </cell>
          <cell r="H574">
            <v>0</v>
          </cell>
          <cell r="I574" t="e">
            <v>#DIV/0!</v>
          </cell>
          <cell r="J574">
            <v>0</v>
          </cell>
          <cell r="M574" t="str">
            <v>Анапский</v>
          </cell>
        </row>
        <row r="575">
          <cell r="A575">
            <v>7</v>
          </cell>
          <cell r="B575">
            <v>0</v>
          </cell>
          <cell r="C575" t="str">
            <v>руб</v>
          </cell>
          <cell r="E575">
            <v>0</v>
          </cell>
          <cell r="F575">
            <v>0</v>
          </cell>
          <cell r="H575">
            <v>0</v>
          </cell>
          <cell r="I575" t="e">
            <v>#DIV/0!</v>
          </cell>
          <cell r="J575">
            <v>0</v>
          </cell>
          <cell r="M575" t="str">
            <v>Анапский</v>
          </cell>
        </row>
        <row r="576">
          <cell r="A576">
            <v>8</v>
          </cell>
          <cell r="B576">
            <v>0</v>
          </cell>
          <cell r="C576" t="str">
            <v>руб</v>
          </cell>
          <cell r="E576">
            <v>0</v>
          </cell>
          <cell r="F576">
            <v>0</v>
          </cell>
          <cell r="H576">
            <v>0</v>
          </cell>
          <cell r="I576" t="e">
            <v>#DIV/0!</v>
          </cell>
          <cell r="J576">
            <v>0</v>
          </cell>
          <cell r="M576" t="str">
            <v>Анапский</v>
          </cell>
        </row>
        <row r="577">
          <cell r="A577">
            <v>9</v>
          </cell>
          <cell r="B577">
            <v>0</v>
          </cell>
          <cell r="C577" t="str">
            <v>руб</v>
          </cell>
          <cell r="E577">
            <v>0</v>
          </cell>
          <cell r="F577">
            <v>0</v>
          </cell>
          <cell r="H577">
            <v>0</v>
          </cell>
          <cell r="I577" t="e">
            <v>#DIV/0!</v>
          </cell>
          <cell r="J577">
            <v>0</v>
          </cell>
          <cell r="M577" t="str">
            <v>Анапский</v>
          </cell>
        </row>
        <row r="578">
          <cell r="A578">
            <v>10</v>
          </cell>
          <cell r="B578">
            <v>0</v>
          </cell>
          <cell r="C578" t="str">
            <v>руб</v>
          </cell>
          <cell r="E578">
            <v>0</v>
          </cell>
          <cell r="F578">
            <v>0</v>
          </cell>
          <cell r="H578">
            <v>0</v>
          </cell>
          <cell r="I578" t="e">
            <v>#DIV/0!</v>
          </cell>
          <cell r="J578">
            <v>0</v>
          </cell>
          <cell r="M578" t="str">
            <v>Анапский</v>
          </cell>
        </row>
        <row r="579">
          <cell r="M579" t="str">
            <v>Анапский</v>
          </cell>
        </row>
        <row r="580">
          <cell r="M580" t="str">
            <v>Анапский</v>
          </cell>
        </row>
        <row r="581">
          <cell r="B581" t="str">
            <v>Составил:______________________________</v>
          </cell>
          <cell r="M581" t="str">
            <v>Анапский</v>
          </cell>
        </row>
        <row r="582">
          <cell r="M582" t="str">
            <v>Анапский</v>
          </cell>
        </row>
        <row r="583">
          <cell r="B583" t="str">
            <v>Начальник ТДО: 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анова Щель"/>
      <sheetName val="Краснодар-Ейск"/>
      <sheetName val="Трудоболиков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F49"/>
  <sheetViews>
    <sheetView showGridLines="0" showZeros="0" tabSelected="1" zoomScale="115" zoomScaleNormal="115" zoomScaleSheetLayoutView="85" zoomScalePageLayoutView="0" workbookViewId="0" topLeftCell="A1">
      <pane xSplit="9" ySplit="3" topLeftCell="K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I9" sqref="I9"/>
    </sheetView>
  </sheetViews>
  <sheetFormatPr defaultColWidth="9.140625" defaultRowHeight="12.75" outlineLevelCol="2"/>
  <cols>
    <col min="1" max="1" width="3.7109375" style="19" customWidth="1"/>
    <col min="2" max="2" width="7.28125" style="19" hidden="1" customWidth="1"/>
    <col min="3" max="3" width="7.8515625" style="19" hidden="1" customWidth="1"/>
    <col min="4" max="6" width="7.28125" style="19" hidden="1" customWidth="1" outlineLevel="1"/>
    <col min="7" max="7" width="4.7109375" style="19" hidden="1" customWidth="1"/>
    <col min="8" max="8" width="9.57421875" style="19" customWidth="1"/>
    <col min="9" max="9" width="40.7109375" style="84" customWidth="1"/>
    <col min="10" max="10" width="11.8515625" style="26" hidden="1" customWidth="1" outlineLevel="2"/>
    <col min="11" max="11" width="11.00390625" style="26" customWidth="1" outlineLevel="1" collapsed="1"/>
    <col min="12" max="12" width="11.00390625" style="26" customWidth="1" outlineLevel="1"/>
    <col min="13" max="13" width="15.140625" style="26" customWidth="1" outlineLevel="1"/>
    <col min="14" max="14" width="9.8515625" style="26" customWidth="1" outlineLevel="1"/>
    <col min="15" max="15" width="9.421875" style="26" customWidth="1" outlineLevel="1"/>
    <col min="16" max="16" width="11.7109375" style="26" customWidth="1" outlineLevel="1"/>
    <col min="17" max="17" width="10.8515625" style="26" customWidth="1" outlineLevel="1"/>
    <col min="18" max="18" width="9.7109375" style="26" customWidth="1" outlineLevel="1"/>
    <col min="19" max="19" width="10.140625" style="26" customWidth="1" outlineLevel="1"/>
    <col min="20" max="20" width="8.8515625" style="26" customWidth="1" outlineLevel="1"/>
    <col min="21" max="21" width="10.7109375" style="26" customWidth="1" outlineLevel="1"/>
    <col min="22" max="22" width="10.00390625" style="26" hidden="1" customWidth="1" outlineLevel="1"/>
    <col min="23" max="23" width="8.7109375" style="26" hidden="1" customWidth="1" outlineLevel="1"/>
    <col min="24" max="24" width="8.28125" style="26" customWidth="1" outlineLevel="1"/>
    <col min="25" max="27" width="7.7109375" style="26" hidden="1" customWidth="1" outlineLevel="1"/>
    <col min="28" max="28" width="9.57421875" style="26" hidden="1" customWidth="1" outlineLevel="1"/>
    <col min="29" max="32" width="9.57421875" style="26" hidden="1" customWidth="1" outlineLevel="2"/>
    <col min="33" max="33" width="9.421875" style="81" customWidth="1" outlineLevel="1" collapsed="1"/>
    <col min="34" max="37" width="9.421875" style="81" hidden="1" customWidth="1" outlineLevel="2"/>
    <col min="38" max="38" width="9.421875" style="81" customWidth="1" outlineLevel="1" collapsed="1"/>
    <col min="39" max="42" width="9.421875" style="81" hidden="1" customWidth="1" outlineLevel="2"/>
    <col min="43" max="43" width="9.421875" style="81" hidden="1" customWidth="1" outlineLevel="1" collapsed="1"/>
    <col min="44" max="47" width="9.421875" style="81" hidden="1" customWidth="1" outlineLevel="2"/>
    <col min="48" max="48" width="9.7109375" style="26" customWidth="1" outlineLevel="1" collapsed="1"/>
    <col min="49" max="52" width="9.7109375" style="26" hidden="1" customWidth="1" outlineLevel="2"/>
    <col min="53" max="53" width="9.57421875" style="26" customWidth="1" outlineLevel="1" collapsed="1"/>
    <col min="54" max="57" width="9.421875" style="81" hidden="1" customWidth="1" outlineLevel="2"/>
    <col min="58" max="58" width="9.7109375" style="26" hidden="1" customWidth="1" outlineLevel="1"/>
    <col min="59" max="62" width="9.7109375" style="26" hidden="1" customWidth="1" outlineLevel="2"/>
    <col min="63" max="63" width="9.7109375" style="26" hidden="1" customWidth="1" outlineLevel="1"/>
    <col min="64" max="64" width="10.7109375" style="82" customWidth="1" collapsed="1"/>
    <col min="65" max="66" width="8.7109375" style="19" customWidth="1" outlineLevel="1"/>
    <col min="67" max="68" width="8.7109375" style="19" hidden="1" customWidth="1" outlineLevel="2"/>
    <col min="69" max="70" width="9.7109375" style="19" hidden="1" customWidth="1" outlineLevel="2"/>
    <col min="71" max="71" width="6.7109375" style="19" customWidth="1" outlineLevel="1" collapsed="1"/>
    <col min="72" max="72" width="6.7109375" style="19" hidden="1" customWidth="1" outlineLevel="1"/>
    <col min="73" max="74" width="10.7109375" style="19" hidden="1" customWidth="1"/>
    <col min="75" max="75" width="6.7109375" style="19" customWidth="1"/>
    <col min="76" max="76" width="1.7109375" style="17" customWidth="1"/>
    <col min="77" max="85" width="9.140625" style="17" customWidth="1" outlineLevel="1"/>
    <col min="86" max="87" width="9.28125" style="17" customWidth="1" outlineLevel="1"/>
    <col min="88" max="94" width="9.140625" style="17" customWidth="1" outlineLevel="1"/>
    <col min="95" max="95" width="9.421875" style="17" customWidth="1" outlineLevel="1"/>
    <col min="96" max="98" width="9.140625" style="17" customWidth="1" outlineLevel="1"/>
    <col min="99" max="99" width="1.7109375" style="17" hidden="1" customWidth="1"/>
    <col min="100" max="100" width="9.57421875" style="17" hidden="1" customWidth="1"/>
    <col min="101" max="101" width="9.28125" style="17" hidden="1" customWidth="1"/>
    <col min="102" max="102" width="9.140625" style="17" hidden="1" customWidth="1"/>
    <col min="103" max="103" width="8.00390625" style="17" hidden="1" customWidth="1"/>
    <col min="104" max="105" width="7.7109375" style="19" hidden="1" customWidth="1"/>
    <col min="106" max="106" width="6.7109375" style="19" hidden="1" customWidth="1"/>
    <col min="107" max="107" width="9.8515625" style="19" hidden="1" customWidth="1"/>
    <col min="108" max="108" width="6.7109375" style="19" hidden="1" customWidth="1"/>
    <col min="109" max="109" width="8.8515625" style="19" hidden="1" customWidth="1"/>
    <col min="110" max="110" width="8.00390625" style="19" hidden="1" customWidth="1"/>
    <col min="111" max="16384" width="9.140625" style="17" customWidth="1"/>
  </cols>
  <sheetData>
    <row r="1" spans="1:110" s="43" customFormat="1" ht="12.75" customHeight="1">
      <c r="A1" s="1"/>
      <c r="B1" s="2"/>
      <c r="C1" s="3"/>
      <c r="D1" s="3"/>
      <c r="E1" s="3"/>
      <c r="F1" s="3"/>
      <c r="G1" s="3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31"/>
      <c r="W1" s="31"/>
      <c r="X1" s="36"/>
      <c r="Y1" s="36"/>
      <c r="Z1" s="36"/>
      <c r="AA1" s="36"/>
      <c r="AB1" s="39"/>
      <c r="AC1" s="39"/>
      <c r="AD1" s="39"/>
      <c r="AE1" s="39"/>
      <c r="AF1" s="39"/>
      <c r="AG1" s="39">
        <v>0.03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20"/>
      <c r="AW1" s="20"/>
      <c r="AX1" s="20"/>
      <c r="AY1" s="20"/>
      <c r="AZ1" s="20"/>
      <c r="BA1" s="39">
        <v>0.18</v>
      </c>
      <c r="BB1" s="39"/>
      <c r="BC1" s="39"/>
      <c r="BD1" s="39"/>
      <c r="BE1" s="39"/>
      <c r="BF1" s="40"/>
      <c r="BG1" s="20"/>
      <c r="BH1" s="20"/>
      <c r="BI1" s="20"/>
      <c r="BJ1" s="20"/>
      <c r="BK1" s="40"/>
      <c r="BL1" s="41"/>
      <c r="BM1" s="20"/>
      <c r="BN1" s="20"/>
      <c r="BO1" s="20"/>
      <c r="BP1" s="20"/>
      <c r="BQ1" s="20"/>
      <c r="BR1" s="20"/>
      <c r="BS1" s="20"/>
      <c r="BT1" s="20"/>
      <c r="BU1" s="42"/>
      <c r="BV1" s="42"/>
      <c r="BW1" s="42"/>
      <c r="CV1" s="195" t="s">
        <v>103</v>
      </c>
      <c r="CW1" s="195"/>
      <c r="CX1" s="195"/>
      <c r="CY1" s="195"/>
      <c r="CZ1" s="44"/>
      <c r="DA1" s="44"/>
      <c r="DB1" s="44"/>
      <c r="DC1" s="44"/>
      <c r="DD1" s="44"/>
      <c r="DE1" s="44"/>
      <c r="DF1" s="44"/>
    </row>
    <row r="2" spans="1:110" s="45" customFormat="1" ht="63">
      <c r="A2" s="4" t="s">
        <v>28</v>
      </c>
      <c r="B2" s="4" t="s">
        <v>41</v>
      </c>
      <c r="C2" s="4" t="s">
        <v>57</v>
      </c>
      <c r="D2" s="4" t="s">
        <v>6</v>
      </c>
      <c r="E2" s="4" t="s">
        <v>7</v>
      </c>
      <c r="F2" s="4" t="s">
        <v>8</v>
      </c>
      <c r="G2" s="4" t="s">
        <v>3</v>
      </c>
      <c r="H2" s="4" t="s">
        <v>74</v>
      </c>
      <c r="I2" s="4" t="s">
        <v>108</v>
      </c>
      <c r="J2" s="4" t="s">
        <v>5</v>
      </c>
      <c r="K2" s="4" t="s">
        <v>64</v>
      </c>
      <c r="L2" s="4" t="s">
        <v>0</v>
      </c>
      <c r="M2" s="4" t="s">
        <v>88</v>
      </c>
      <c r="N2" s="4" t="s">
        <v>1</v>
      </c>
      <c r="O2" s="4" t="s">
        <v>87</v>
      </c>
      <c r="P2" s="4" t="s">
        <v>63</v>
      </c>
      <c r="Q2" s="4" t="s">
        <v>18</v>
      </c>
      <c r="R2" s="4" t="s">
        <v>19</v>
      </c>
      <c r="S2" s="4" t="s">
        <v>27</v>
      </c>
      <c r="T2" s="4" t="s">
        <v>9</v>
      </c>
      <c r="U2" s="4" t="s">
        <v>15</v>
      </c>
      <c r="V2" s="4" t="s">
        <v>85</v>
      </c>
      <c r="W2" s="4" t="s">
        <v>45</v>
      </c>
      <c r="X2" s="4" t="s">
        <v>2</v>
      </c>
      <c r="Y2" s="4" t="s">
        <v>46</v>
      </c>
      <c r="Z2" s="4" t="s">
        <v>97</v>
      </c>
      <c r="AA2" s="37" t="s">
        <v>20</v>
      </c>
      <c r="AB2" s="4" t="s">
        <v>93</v>
      </c>
      <c r="AC2" s="4" t="s">
        <v>47</v>
      </c>
      <c r="AD2" s="4" t="s">
        <v>48</v>
      </c>
      <c r="AE2" s="4" t="s">
        <v>86</v>
      </c>
      <c r="AF2" s="4" t="s">
        <v>96</v>
      </c>
      <c r="AG2" s="4" t="s">
        <v>94</v>
      </c>
      <c r="AH2" s="4" t="s">
        <v>11</v>
      </c>
      <c r="AI2" s="4" t="s">
        <v>12</v>
      </c>
      <c r="AJ2" s="4" t="s">
        <v>13</v>
      </c>
      <c r="AK2" s="4" t="s">
        <v>14</v>
      </c>
      <c r="AL2" s="4" t="s">
        <v>10</v>
      </c>
      <c r="AM2" s="4" t="s">
        <v>130</v>
      </c>
      <c r="AN2" s="4" t="s">
        <v>131</v>
      </c>
      <c r="AO2" s="4" t="s">
        <v>132</v>
      </c>
      <c r="AP2" s="4" t="s">
        <v>133</v>
      </c>
      <c r="AQ2" s="4" t="s">
        <v>114</v>
      </c>
      <c r="AR2" s="4" t="s">
        <v>68</v>
      </c>
      <c r="AS2" s="4" t="s">
        <v>67</v>
      </c>
      <c r="AT2" s="4" t="s">
        <v>49</v>
      </c>
      <c r="AU2" s="4" t="s">
        <v>50</v>
      </c>
      <c r="AV2" s="4" t="s">
        <v>115</v>
      </c>
      <c r="AW2" s="4" t="s">
        <v>16</v>
      </c>
      <c r="AX2" s="4" t="s">
        <v>79</v>
      </c>
      <c r="AY2" s="4" t="s">
        <v>80</v>
      </c>
      <c r="AZ2" s="4" t="s">
        <v>81</v>
      </c>
      <c r="BA2" s="4" t="s">
        <v>116</v>
      </c>
      <c r="BB2" s="4" t="s">
        <v>68</v>
      </c>
      <c r="BC2" s="4" t="s">
        <v>67</v>
      </c>
      <c r="BD2" s="4" t="s">
        <v>49</v>
      </c>
      <c r="BE2" s="4" t="s">
        <v>50</v>
      </c>
      <c r="BF2" s="4" t="s">
        <v>128</v>
      </c>
      <c r="BG2" s="4" t="s">
        <v>16</v>
      </c>
      <c r="BH2" s="4" t="s">
        <v>79</v>
      </c>
      <c r="BI2" s="4" t="s">
        <v>80</v>
      </c>
      <c r="BJ2" s="4" t="s">
        <v>81</v>
      </c>
      <c r="BK2" s="4" t="s">
        <v>129</v>
      </c>
      <c r="BL2" s="4" t="s">
        <v>73</v>
      </c>
      <c r="BM2" s="4" t="s">
        <v>117</v>
      </c>
      <c r="BN2" s="4" t="s">
        <v>118</v>
      </c>
      <c r="BO2" s="4" t="s">
        <v>124</v>
      </c>
      <c r="BP2" s="4" t="s">
        <v>125</v>
      </c>
      <c r="BQ2" s="4" t="s">
        <v>119</v>
      </c>
      <c r="BR2" s="4" t="s">
        <v>113</v>
      </c>
      <c r="BS2" s="4" t="s">
        <v>120</v>
      </c>
      <c r="BT2" s="4" t="s">
        <v>126</v>
      </c>
      <c r="BU2" s="4" t="s">
        <v>121</v>
      </c>
      <c r="BV2" s="4" t="s">
        <v>127</v>
      </c>
      <c r="BW2" s="191" t="s">
        <v>135</v>
      </c>
      <c r="BY2" s="46" t="s">
        <v>22</v>
      </c>
      <c r="BZ2" s="46" t="s">
        <v>23</v>
      </c>
      <c r="CA2" s="46" t="s">
        <v>24</v>
      </c>
      <c r="CB2" s="46" t="s">
        <v>25</v>
      </c>
      <c r="CC2" s="46" t="s">
        <v>89</v>
      </c>
      <c r="CD2" s="46" t="s">
        <v>110</v>
      </c>
      <c r="CE2" s="46" t="s">
        <v>26</v>
      </c>
      <c r="CF2" s="46" t="s">
        <v>84</v>
      </c>
      <c r="CG2" s="46" t="s">
        <v>56</v>
      </c>
      <c r="CH2" s="46" t="s">
        <v>30</v>
      </c>
      <c r="CI2" s="46" t="s">
        <v>21</v>
      </c>
      <c r="CJ2" s="46" t="s">
        <v>61</v>
      </c>
      <c r="CK2" s="46" t="s">
        <v>62</v>
      </c>
      <c r="CL2" s="46" t="s">
        <v>52</v>
      </c>
      <c r="CM2" s="46" t="s">
        <v>95</v>
      </c>
      <c r="CN2" s="46" t="s">
        <v>71</v>
      </c>
      <c r="CO2" s="46" t="s">
        <v>72</v>
      </c>
      <c r="CP2" s="46" t="s">
        <v>83</v>
      </c>
      <c r="CQ2" s="46" t="s">
        <v>43</v>
      </c>
      <c r="CR2" s="46" t="s">
        <v>34</v>
      </c>
      <c r="CS2" s="46" t="s">
        <v>17</v>
      </c>
      <c r="CT2" s="46" t="s">
        <v>55</v>
      </c>
      <c r="CV2" s="4" t="s">
        <v>130</v>
      </c>
      <c r="CW2" s="4" t="s">
        <v>131</v>
      </c>
      <c r="CX2" s="4" t="s">
        <v>132</v>
      </c>
      <c r="CY2" s="4" t="s">
        <v>134</v>
      </c>
      <c r="DA2" s="37" t="s">
        <v>102</v>
      </c>
      <c r="DB2" s="4" t="s">
        <v>100</v>
      </c>
      <c r="DC2" s="4" t="s">
        <v>98</v>
      </c>
      <c r="DD2" s="4" t="s">
        <v>40</v>
      </c>
      <c r="DE2" s="4" t="s">
        <v>101</v>
      </c>
      <c r="DF2" s="4" t="s">
        <v>99</v>
      </c>
    </row>
    <row r="3" spans="1:103" s="48" customFormat="1" ht="12.75" customHeight="1">
      <c r="A3" s="5">
        <v>1</v>
      </c>
      <c r="B3" s="5">
        <f>A3+1</f>
        <v>2</v>
      </c>
      <c r="C3" s="5">
        <f aca="true" t="shared" si="0" ref="C3:BV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  <c r="BL3" s="5">
        <f t="shared" si="0"/>
        <v>64</v>
      </c>
      <c r="BM3" s="5">
        <f t="shared" si="0"/>
        <v>65</v>
      </c>
      <c r="BN3" s="5">
        <f t="shared" si="0"/>
        <v>66</v>
      </c>
      <c r="BO3" s="5">
        <f t="shared" si="0"/>
        <v>67</v>
      </c>
      <c r="BP3" s="5">
        <f t="shared" si="0"/>
        <v>68</v>
      </c>
      <c r="BQ3" s="5">
        <f t="shared" si="0"/>
        <v>69</v>
      </c>
      <c r="BR3" s="5">
        <f t="shared" si="0"/>
        <v>70</v>
      </c>
      <c r="BS3" s="5">
        <f t="shared" si="0"/>
        <v>71</v>
      </c>
      <c r="BT3" s="5">
        <f t="shared" si="0"/>
        <v>72</v>
      </c>
      <c r="BU3" s="5">
        <f t="shared" si="0"/>
        <v>73</v>
      </c>
      <c r="BV3" s="5">
        <f t="shared" si="0"/>
        <v>74</v>
      </c>
      <c r="BW3" s="5"/>
      <c r="BX3" s="5">
        <f>BV3+1</f>
        <v>75</v>
      </c>
      <c r="BY3" s="5">
        <f>BX3+1</f>
        <v>76</v>
      </c>
      <c r="BZ3" s="5">
        <f aca="true" t="shared" si="1" ref="BZ3:CU3">BY3+1</f>
        <v>77</v>
      </c>
      <c r="CA3" s="5">
        <f t="shared" si="1"/>
        <v>78</v>
      </c>
      <c r="CB3" s="5">
        <f t="shared" si="1"/>
        <v>79</v>
      </c>
      <c r="CC3" s="5">
        <f t="shared" si="1"/>
        <v>80</v>
      </c>
      <c r="CD3" s="5">
        <f t="shared" si="1"/>
        <v>81</v>
      </c>
      <c r="CE3" s="5">
        <f t="shared" si="1"/>
        <v>82</v>
      </c>
      <c r="CF3" s="5">
        <f t="shared" si="1"/>
        <v>83</v>
      </c>
      <c r="CG3" s="5">
        <f t="shared" si="1"/>
        <v>84</v>
      </c>
      <c r="CH3" s="5">
        <f t="shared" si="1"/>
        <v>85</v>
      </c>
      <c r="CI3" s="5">
        <f t="shared" si="1"/>
        <v>86</v>
      </c>
      <c r="CJ3" s="5">
        <f t="shared" si="1"/>
        <v>87</v>
      </c>
      <c r="CK3" s="5">
        <f t="shared" si="1"/>
        <v>88</v>
      </c>
      <c r="CL3" s="5">
        <f t="shared" si="1"/>
        <v>89</v>
      </c>
      <c r="CM3" s="5">
        <f t="shared" si="1"/>
        <v>90</v>
      </c>
      <c r="CN3" s="5">
        <f t="shared" si="1"/>
        <v>91</v>
      </c>
      <c r="CO3" s="5">
        <f t="shared" si="1"/>
        <v>92</v>
      </c>
      <c r="CP3" s="5">
        <f t="shared" si="1"/>
        <v>93</v>
      </c>
      <c r="CQ3" s="5">
        <f t="shared" si="1"/>
        <v>94</v>
      </c>
      <c r="CR3" s="5">
        <f t="shared" si="1"/>
        <v>95</v>
      </c>
      <c r="CS3" s="5">
        <f t="shared" si="1"/>
        <v>96</v>
      </c>
      <c r="CT3" s="5">
        <f t="shared" si="1"/>
        <v>97</v>
      </c>
      <c r="CU3" s="5">
        <f t="shared" si="1"/>
        <v>98</v>
      </c>
      <c r="CV3" s="5">
        <f>CU3+1</f>
        <v>99</v>
      </c>
      <c r="CW3" s="5">
        <f>CV3+1</f>
        <v>100</v>
      </c>
      <c r="CX3" s="5">
        <f>CW3+1</f>
        <v>101</v>
      </c>
      <c r="CY3" s="5">
        <f>CX3+1</f>
        <v>102</v>
      </c>
    </row>
    <row r="4" spans="1:110" s="47" customFormat="1" ht="33.75">
      <c r="A4" s="6">
        <v>1</v>
      </c>
      <c r="B4" s="7"/>
      <c r="C4" s="8"/>
      <c r="D4" s="9"/>
      <c r="E4" s="10">
        <v>0.01</v>
      </c>
      <c r="F4" s="11"/>
      <c r="G4" s="12"/>
      <c r="H4" s="27" t="s">
        <v>142</v>
      </c>
      <c r="I4" s="28" t="s">
        <v>150</v>
      </c>
      <c r="J4" s="21"/>
      <c r="K4" s="29">
        <f>11539.92</f>
        <v>11539.92</v>
      </c>
      <c r="L4" s="29">
        <f>14829.26</f>
        <v>14829.26</v>
      </c>
      <c r="M4" s="29">
        <f>205563.57</f>
        <v>205563.57</v>
      </c>
      <c r="N4" s="29">
        <v>13963.3</v>
      </c>
      <c r="O4" s="29">
        <v>7500.95</v>
      </c>
      <c r="P4" s="32">
        <f>SUM(K4:O4)</f>
        <v>253397</v>
      </c>
      <c r="Q4" s="30">
        <f>P4</f>
        <v>253397</v>
      </c>
      <c r="R4" s="29"/>
      <c r="S4" s="30"/>
      <c r="T4" s="30"/>
      <c r="U4" s="32">
        <f>SUM(Q4:T4)</f>
        <v>253397</v>
      </c>
      <c r="V4" s="33">
        <f aca="true" t="shared" si="2" ref="V4:W8">ROUND($D4*Q4,0)</f>
        <v>0</v>
      </c>
      <c r="W4" s="33">
        <f t="shared" si="2"/>
        <v>0</v>
      </c>
      <c r="X4" s="85">
        <f>ROUND($E4*SUM(Q4:R4,V4:W4),0)</f>
        <v>2534</v>
      </c>
      <c r="Y4" s="33"/>
      <c r="Z4" s="33"/>
      <c r="AA4" s="33"/>
      <c r="AB4" s="33">
        <f>ROUND(F4*SUM(U4:W4),0)</f>
        <v>0</v>
      </c>
      <c r="AC4" s="33">
        <f>ROUND(AG$1*SUM(Q4,V4,Y4),0)</f>
        <v>7602</v>
      </c>
      <c r="AD4" s="33">
        <f>ROUND(AG$1*SUM(R4,W4,Z4),0)</f>
        <v>0</v>
      </c>
      <c r="AE4" s="33">
        <f>ROUND(AG$1*S4,0)</f>
        <v>0</v>
      </c>
      <c r="AF4" s="33">
        <f>ROUND(AG$1*SUM(T4,X4,AA4:AB4),0)</f>
        <v>76</v>
      </c>
      <c r="AG4" s="33">
        <f>ROUND(SUM(AC4:AF4),0)</f>
        <v>7678</v>
      </c>
      <c r="AH4" s="33">
        <f aca="true" t="shared" si="3" ref="AH4:AI8">Q4+V4+Y4+AC4</f>
        <v>260999</v>
      </c>
      <c r="AI4" s="33">
        <f t="shared" si="3"/>
        <v>0</v>
      </c>
      <c r="AJ4" s="33">
        <f>S4+AE4</f>
        <v>0</v>
      </c>
      <c r="AK4" s="33">
        <f>T4+X4+AA4+AB4+AF4</f>
        <v>2610</v>
      </c>
      <c r="AL4" s="33">
        <f>SUM(AH4:AK4)</f>
        <v>263609</v>
      </c>
      <c r="AM4" s="33">
        <f aca="true" t="shared" si="4" ref="AM4:AM33">IF($G4="да",ROUND(CV4*(1+$AG$1),0),AH4)</f>
        <v>260999</v>
      </c>
      <c r="AN4" s="33">
        <f aca="true" t="shared" si="5" ref="AN4:AN33">IF($G4="да",ROUND(CW4*(1+$AG$1),0),AI4)</f>
        <v>0</v>
      </c>
      <c r="AO4" s="33">
        <f aca="true" t="shared" si="6" ref="AO4:AO33">IF($G4="да",ROUND(CX4*(1+$AG$1),0),AJ4)</f>
        <v>0</v>
      </c>
      <c r="AP4" s="33">
        <f aca="true" t="shared" si="7" ref="AP4:AP33">IF($G4="да",ROUND((SUM(CV4:CW4)*IF(CZ4=TRUE,E4,X4/SUM(Q4:R4,V4:W4))+SUM(CV4:CY4)*F4+CY4)*(1+$AG$1),0),AK4)</f>
        <v>2610</v>
      </c>
      <c r="AQ4" s="33">
        <f>SUM(AM4:AP4)</f>
        <v>263609</v>
      </c>
      <c r="AR4" s="33">
        <f aca="true" t="shared" si="8" ref="AR4:AU8">ROUND($BS4*AM4,0)</f>
        <v>20541</v>
      </c>
      <c r="AS4" s="33">
        <f t="shared" si="8"/>
        <v>0</v>
      </c>
      <c r="AT4" s="33">
        <f t="shared" si="8"/>
        <v>0</v>
      </c>
      <c r="AU4" s="33">
        <f t="shared" si="8"/>
        <v>205</v>
      </c>
      <c r="AV4" s="33">
        <f>SUM(AR4:AU4)</f>
        <v>20746</v>
      </c>
      <c r="AW4" s="33">
        <f aca="true" t="shared" si="9" ref="AW4:AZ8">ROUND(18%*SUM(AM4,AR4),0)</f>
        <v>50677</v>
      </c>
      <c r="AX4" s="33">
        <f t="shared" si="9"/>
        <v>0</v>
      </c>
      <c r="AY4" s="33">
        <f t="shared" si="9"/>
        <v>0</v>
      </c>
      <c r="AZ4" s="33">
        <f t="shared" si="9"/>
        <v>507</v>
      </c>
      <c r="BA4" s="33">
        <f>SUM(AW4:AZ4)</f>
        <v>51184</v>
      </c>
      <c r="BB4" s="33">
        <f aca="true" t="shared" si="10" ref="BB4:BE8">ROUND($BT4*(AH4-AM4),0)</f>
        <v>0</v>
      </c>
      <c r="BC4" s="33">
        <f t="shared" si="10"/>
        <v>0</v>
      </c>
      <c r="BD4" s="33">
        <f t="shared" si="10"/>
        <v>0</v>
      </c>
      <c r="BE4" s="33">
        <f t="shared" si="10"/>
        <v>0</v>
      </c>
      <c r="BF4" s="33">
        <f>SUM(BB4:BE4)</f>
        <v>0</v>
      </c>
      <c r="BG4" s="33">
        <f aca="true" t="shared" si="11" ref="BG4:BJ8">ROUND(18%*(AH4-AM4+BB4),0)</f>
        <v>0</v>
      </c>
      <c r="BH4" s="33">
        <f t="shared" si="11"/>
        <v>0</v>
      </c>
      <c r="BI4" s="33">
        <f t="shared" si="11"/>
        <v>0</v>
      </c>
      <c r="BJ4" s="33">
        <f t="shared" si="11"/>
        <v>0</v>
      </c>
      <c r="BK4" s="33">
        <f>SUM(BG4:BJ4)</f>
        <v>0</v>
      </c>
      <c r="BL4" s="50">
        <f>SUM(AL4,AV4,BA4,BF4,BK4)</f>
        <v>335539</v>
      </c>
      <c r="BM4" s="86" t="s">
        <v>149</v>
      </c>
      <c r="BN4" s="86" t="s">
        <v>149</v>
      </c>
      <c r="BO4" s="51" t="s">
        <v>37</v>
      </c>
      <c r="BP4" s="51" t="s">
        <v>44</v>
      </c>
      <c r="BQ4" s="52">
        <f aca="true" t="shared" si="12" ref="BQ4:BQ33">ROUND((CONCATENATE("15.",BN4,".2012")-CONCATENATE("15.",BM4,".2012"))/2,0)+CONCATENATE("15.",BM4,".2012")</f>
        <v>41136</v>
      </c>
      <c r="BR4" s="52">
        <f aca="true" t="shared" si="13" ref="BR4:BR33">ROUND((CONCATENATE("15.",BP4,".2013")-CONCATENATE("15.",BO4,".2013"))/2,0)+CONCATENATE("15.",BO4,".2013")</f>
        <v>41456</v>
      </c>
      <c r="BS4" s="53">
        <f>ROUND((1+VLOOKUP(BQ4,'Расчет инфляции'!$E$5:$F$370,2,0))*(1+'Расчет инфляции'!$B$18/12*5)-1,4)</f>
        <v>0.0787</v>
      </c>
      <c r="BT4" s="53">
        <f>ROUND((1+VLOOKUP(BR4,'Расчет инфляции'!$I$5:$J$370,2,0))*(1+'Расчет инфляции'!$B$19)*(1+'Расчет инфляции'!$B$18/12*5)-1,4)</f>
        <v>0.1484</v>
      </c>
      <c r="BU4" s="50">
        <f>AQ4+AV4+BA4</f>
        <v>335539</v>
      </c>
      <c r="BV4" s="50">
        <f>AL4-AQ4+BF4+BK4</f>
        <v>0</v>
      </c>
      <c r="BW4" s="192"/>
      <c r="BY4" s="87">
        <f>80.0216</f>
        <v>80.0216</v>
      </c>
      <c r="BZ4" s="87"/>
      <c r="CA4" s="87"/>
      <c r="CB4" s="87"/>
      <c r="CC4" s="87"/>
      <c r="CD4" s="87"/>
      <c r="CE4" s="87"/>
      <c r="CF4" s="87">
        <v>0.2333858</v>
      </c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V4" s="49"/>
      <c r="CW4" s="49"/>
      <c r="CX4" s="49"/>
      <c r="CY4" s="49">
        <f>T4</f>
        <v>0</v>
      </c>
      <c r="CZ4" s="16" t="b">
        <f>ROUND(X4/SUM(Q4:R4,V4:W4),3)=E4</f>
        <v>1</v>
      </c>
      <c r="DA4" s="56">
        <f aca="true" t="shared" si="14" ref="DA4:DA33">ROUND(BU4/BL4,8)*DD4</f>
        <v>100000</v>
      </c>
      <c r="DB4" s="57">
        <v>1</v>
      </c>
      <c r="DC4" s="54">
        <f aca="true" t="shared" si="15" ref="DC4:DC12">DB4*DD4</f>
        <v>100000</v>
      </c>
      <c r="DD4" s="54">
        <v>100000</v>
      </c>
      <c r="DE4" s="54">
        <f aca="true" t="shared" si="16" ref="DE4:DE33">ROUND(DB4*BL4,0)</f>
        <v>335539</v>
      </c>
      <c r="DF4" s="54" t="b">
        <f aca="true" t="shared" si="17" ref="DF4:DF33">DE4=BU4</f>
        <v>1</v>
      </c>
    </row>
    <row r="5" spans="1:110" s="47" customFormat="1" ht="33.75">
      <c r="A5" s="6">
        <f>A4+1</f>
        <v>2</v>
      </c>
      <c r="B5" s="7"/>
      <c r="C5" s="8"/>
      <c r="D5" s="9"/>
      <c r="E5" s="10">
        <v>0.01</v>
      </c>
      <c r="F5" s="11"/>
      <c r="G5" s="12"/>
      <c r="H5" s="27" t="s">
        <v>142</v>
      </c>
      <c r="I5" s="28" t="s">
        <v>143</v>
      </c>
      <c r="J5" s="21"/>
      <c r="K5" s="29">
        <f>58337.82</f>
        <v>58337.82</v>
      </c>
      <c r="L5" s="29">
        <f>69958.6</f>
        <v>69958.6</v>
      </c>
      <c r="M5" s="29">
        <f>966976.19</f>
        <v>966976.19</v>
      </c>
      <c r="N5" s="29">
        <v>70588.79</v>
      </c>
      <c r="O5" s="29">
        <v>37919.6</v>
      </c>
      <c r="P5" s="32">
        <f>SUM(K5:O5)</f>
        <v>1203781</v>
      </c>
      <c r="Q5" s="30">
        <f>P5</f>
        <v>1203781</v>
      </c>
      <c r="R5" s="29"/>
      <c r="S5" s="30"/>
      <c r="T5" s="30"/>
      <c r="U5" s="32">
        <f>SUM(Q5:T5)</f>
        <v>1203781</v>
      </c>
      <c r="V5" s="33">
        <f t="shared" si="2"/>
        <v>0</v>
      </c>
      <c r="W5" s="33">
        <f t="shared" si="2"/>
        <v>0</v>
      </c>
      <c r="X5" s="85">
        <v>8152</v>
      </c>
      <c r="Y5" s="33"/>
      <c r="Z5" s="33"/>
      <c r="AA5" s="33"/>
      <c r="AB5" s="33">
        <f>ROUND(F5*SUM(U5:W5),0)</f>
        <v>0</v>
      </c>
      <c r="AC5" s="33">
        <f>ROUND(AG$1*SUM(Q5,V5,Y5),0)</f>
        <v>36113</v>
      </c>
      <c r="AD5" s="33">
        <f>ROUND(AG$1*SUM(R5,W5,Z5),0)</f>
        <v>0</v>
      </c>
      <c r="AE5" s="33">
        <f>ROUND(AG$1*S5,0)</f>
        <v>0</v>
      </c>
      <c r="AF5" s="33">
        <f>ROUND(AG$1*SUM(T5,X5,AA5:AB5),0)</f>
        <v>245</v>
      </c>
      <c r="AG5" s="33">
        <f>ROUND(SUM(AC5:AF5),0)</f>
        <v>36358</v>
      </c>
      <c r="AH5" s="33">
        <f t="shared" si="3"/>
        <v>1239894</v>
      </c>
      <c r="AI5" s="33">
        <f t="shared" si="3"/>
        <v>0</v>
      </c>
      <c r="AJ5" s="33">
        <f>S5+AE5</f>
        <v>0</v>
      </c>
      <c r="AK5" s="33">
        <f>T5+X5+AA5+AB5+AF5</f>
        <v>8397</v>
      </c>
      <c r="AL5" s="33">
        <f>SUM(AH5:AK5)</f>
        <v>1248291</v>
      </c>
      <c r="AM5" s="33">
        <f t="shared" si="4"/>
        <v>1239894</v>
      </c>
      <c r="AN5" s="33">
        <f t="shared" si="5"/>
        <v>0</v>
      </c>
      <c r="AO5" s="33">
        <f t="shared" si="6"/>
        <v>0</v>
      </c>
      <c r="AP5" s="33">
        <f t="shared" si="7"/>
        <v>8397</v>
      </c>
      <c r="AQ5" s="33">
        <f>SUM(AM5:AP5)</f>
        <v>1248291</v>
      </c>
      <c r="AR5" s="33">
        <f t="shared" si="8"/>
        <v>97580</v>
      </c>
      <c r="AS5" s="33">
        <f t="shared" si="8"/>
        <v>0</v>
      </c>
      <c r="AT5" s="33">
        <f t="shared" si="8"/>
        <v>0</v>
      </c>
      <c r="AU5" s="33">
        <f t="shared" si="8"/>
        <v>661</v>
      </c>
      <c r="AV5" s="33">
        <f>SUM(AR5:AU5)</f>
        <v>98241</v>
      </c>
      <c r="AW5" s="33">
        <f t="shared" si="9"/>
        <v>240745</v>
      </c>
      <c r="AX5" s="33">
        <f t="shared" si="9"/>
        <v>0</v>
      </c>
      <c r="AY5" s="33">
        <f t="shared" si="9"/>
        <v>0</v>
      </c>
      <c r="AZ5" s="33">
        <f t="shared" si="9"/>
        <v>1630</v>
      </c>
      <c r="BA5" s="33">
        <f>SUM(AW5:AZ5)</f>
        <v>242375</v>
      </c>
      <c r="BB5" s="33">
        <f t="shared" si="10"/>
        <v>0</v>
      </c>
      <c r="BC5" s="33">
        <f t="shared" si="10"/>
        <v>0</v>
      </c>
      <c r="BD5" s="33">
        <f t="shared" si="10"/>
        <v>0</v>
      </c>
      <c r="BE5" s="33">
        <f t="shared" si="10"/>
        <v>0</v>
      </c>
      <c r="BF5" s="33">
        <f>SUM(BB5:BE5)</f>
        <v>0</v>
      </c>
      <c r="BG5" s="33">
        <f t="shared" si="11"/>
        <v>0</v>
      </c>
      <c r="BH5" s="33">
        <f t="shared" si="11"/>
        <v>0</v>
      </c>
      <c r="BI5" s="33">
        <f t="shared" si="11"/>
        <v>0</v>
      </c>
      <c r="BJ5" s="33">
        <f t="shared" si="11"/>
        <v>0</v>
      </c>
      <c r="BK5" s="33">
        <f>SUM(BG5:BJ5)</f>
        <v>0</v>
      </c>
      <c r="BL5" s="50">
        <f>SUM(AL5,AV5,BA5,BF5,BK5)</f>
        <v>1588907</v>
      </c>
      <c r="BM5" s="86" t="s">
        <v>149</v>
      </c>
      <c r="BN5" s="86" t="s">
        <v>149</v>
      </c>
      <c r="BO5" s="51" t="s">
        <v>37</v>
      </c>
      <c r="BP5" s="51" t="s">
        <v>44</v>
      </c>
      <c r="BQ5" s="52">
        <f t="shared" si="12"/>
        <v>41136</v>
      </c>
      <c r="BR5" s="52">
        <f t="shared" si="13"/>
        <v>41456</v>
      </c>
      <c r="BS5" s="53">
        <f>ROUND((1+VLOOKUP(BQ5,'Расчет инфляции'!$E$5:$F$370,2,0))*(1+'Расчет инфляции'!$B$18/12*5)-1,4)</f>
        <v>0.0787</v>
      </c>
      <c r="BT5" s="53">
        <f>ROUND((1+VLOOKUP(BR5,'Расчет инфляции'!$I$5:$J$370,2,0))*(1+'Расчет инфляции'!$B$19)*(1+'Расчет инфляции'!$B$18/12*5)-1,4)</f>
        <v>0.1484</v>
      </c>
      <c r="BU5" s="50">
        <f>AQ5+AV5+BA5</f>
        <v>1588907</v>
      </c>
      <c r="BV5" s="50">
        <f>AL5-AQ5+BF5+BK5</f>
        <v>0</v>
      </c>
      <c r="BW5" s="192"/>
      <c r="BY5" s="87">
        <v>375.3252</v>
      </c>
      <c r="BZ5" s="87"/>
      <c r="CA5" s="87"/>
      <c r="CB5" s="87"/>
      <c r="CC5" s="87"/>
      <c r="CD5" s="87"/>
      <c r="CE5" s="87"/>
      <c r="CF5" s="87">
        <v>1.0943146</v>
      </c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V5" s="49"/>
      <c r="CW5" s="49"/>
      <c r="CX5" s="49"/>
      <c r="CY5" s="49">
        <f>T5</f>
        <v>0</v>
      </c>
      <c r="CZ5" s="16" t="b">
        <f>ROUND(X5/SUM(Q5:R5,V5:W5),3)=E5</f>
        <v>0</v>
      </c>
      <c r="DA5" s="56">
        <f t="shared" si="14"/>
        <v>100000</v>
      </c>
      <c r="DB5" s="57">
        <v>1</v>
      </c>
      <c r="DC5" s="54">
        <f t="shared" si="15"/>
        <v>100000</v>
      </c>
      <c r="DD5" s="54">
        <v>100000</v>
      </c>
      <c r="DE5" s="54">
        <f t="shared" si="16"/>
        <v>1588907</v>
      </c>
      <c r="DF5" s="54" t="b">
        <f t="shared" si="17"/>
        <v>1</v>
      </c>
    </row>
    <row r="6" spans="1:110" s="47" customFormat="1" ht="22.5">
      <c r="A6" s="6">
        <f>A5+1</f>
        <v>3</v>
      </c>
      <c r="B6" s="7"/>
      <c r="C6" s="8"/>
      <c r="D6" s="9"/>
      <c r="E6" s="10">
        <v>0.01</v>
      </c>
      <c r="F6" s="11"/>
      <c r="G6" s="12"/>
      <c r="H6" s="27" t="s">
        <v>142</v>
      </c>
      <c r="I6" s="28" t="s">
        <v>144</v>
      </c>
      <c r="J6" s="21"/>
      <c r="K6" s="29">
        <f>14058.74</f>
        <v>14058.74</v>
      </c>
      <c r="L6" s="29">
        <f>21903.59</f>
        <v>21903.59</v>
      </c>
      <c r="M6" s="29">
        <f>159277.44</f>
        <v>159277.44</v>
      </c>
      <c r="N6" s="29">
        <f>17011.06</f>
        <v>17011.06</v>
      </c>
      <c r="O6" s="29">
        <f>9138.17</f>
        <v>9138.17</v>
      </c>
      <c r="P6" s="32">
        <f>SUM(K6:O6)</f>
        <v>221389.00000000003</v>
      </c>
      <c r="Q6" s="30">
        <f aca="true" t="shared" si="18" ref="Q6:Q33">P6</f>
        <v>221389.00000000003</v>
      </c>
      <c r="R6" s="29"/>
      <c r="S6" s="30"/>
      <c r="T6" s="30"/>
      <c r="U6" s="32">
        <f>SUM(Q6:T6)</f>
        <v>221389.00000000003</v>
      </c>
      <c r="V6" s="33">
        <f t="shared" si="2"/>
        <v>0</v>
      </c>
      <c r="W6" s="33">
        <f t="shared" si="2"/>
        <v>0</v>
      </c>
      <c r="X6" s="85">
        <f>ROUND($E6*SUM(Q6:R6,V6:W6),0)</f>
        <v>2214</v>
      </c>
      <c r="Y6" s="33"/>
      <c r="Z6" s="33"/>
      <c r="AA6" s="33"/>
      <c r="AB6" s="33">
        <f>ROUND(F6*SUM(U6:W6),0)</f>
        <v>0</v>
      </c>
      <c r="AC6" s="33">
        <f>ROUND(AG$1*SUM(Q6,V6,Y6),0)</f>
        <v>6642</v>
      </c>
      <c r="AD6" s="33">
        <f>ROUND(AG$1*SUM(R6,W6,Z6),0)</f>
        <v>0</v>
      </c>
      <c r="AE6" s="33">
        <f>ROUND(AG$1*S6,0)</f>
        <v>0</v>
      </c>
      <c r="AF6" s="33">
        <f>ROUND(AG$1*SUM(T6,X6,AA6:AB6),0)</f>
        <v>66</v>
      </c>
      <c r="AG6" s="33">
        <f>ROUND(SUM(AC6:AF6),0)</f>
        <v>6708</v>
      </c>
      <c r="AH6" s="33">
        <f t="shared" si="3"/>
        <v>228031.00000000003</v>
      </c>
      <c r="AI6" s="33">
        <f t="shared" si="3"/>
        <v>0</v>
      </c>
      <c r="AJ6" s="33">
        <f>S6+AE6</f>
        <v>0</v>
      </c>
      <c r="AK6" s="33">
        <f>T6+X6+AA6+AB6+AF6</f>
        <v>2280</v>
      </c>
      <c r="AL6" s="33">
        <f>SUM(AH6:AK6)</f>
        <v>230311.00000000003</v>
      </c>
      <c r="AM6" s="33">
        <f t="shared" si="4"/>
        <v>228031.00000000003</v>
      </c>
      <c r="AN6" s="33">
        <f t="shared" si="5"/>
        <v>0</v>
      </c>
      <c r="AO6" s="33">
        <f t="shared" si="6"/>
        <v>0</v>
      </c>
      <c r="AP6" s="33">
        <f t="shared" si="7"/>
        <v>2280</v>
      </c>
      <c r="AQ6" s="33">
        <f>SUM(AM6:AP6)</f>
        <v>230311.00000000003</v>
      </c>
      <c r="AR6" s="33">
        <f t="shared" si="8"/>
        <v>17946</v>
      </c>
      <c r="AS6" s="33">
        <f t="shared" si="8"/>
        <v>0</v>
      </c>
      <c r="AT6" s="33">
        <f t="shared" si="8"/>
        <v>0</v>
      </c>
      <c r="AU6" s="33">
        <f t="shared" si="8"/>
        <v>179</v>
      </c>
      <c r="AV6" s="33">
        <f>SUM(AR6:AU6)</f>
        <v>18125</v>
      </c>
      <c r="AW6" s="33">
        <f t="shared" si="9"/>
        <v>44276</v>
      </c>
      <c r="AX6" s="33">
        <f t="shared" si="9"/>
        <v>0</v>
      </c>
      <c r="AY6" s="33">
        <f t="shared" si="9"/>
        <v>0</v>
      </c>
      <c r="AZ6" s="33">
        <f t="shared" si="9"/>
        <v>443</v>
      </c>
      <c r="BA6" s="33">
        <f>SUM(AW6:AZ6)</f>
        <v>44719</v>
      </c>
      <c r="BB6" s="33">
        <f t="shared" si="10"/>
        <v>0</v>
      </c>
      <c r="BC6" s="33">
        <f t="shared" si="10"/>
        <v>0</v>
      </c>
      <c r="BD6" s="33">
        <f t="shared" si="10"/>
        <v>0</v>
      </c>
      <c r="BE6" s="33">
        <f t="shared" si="10"/>
        <v>0</v>
      </c>
      <c r="BF6" s="33">
        <f>SUM(BB6:BE6)</f>
        <v>0</v>
      </c>
      <c r="BG6" s="33">
        <f t="shared" si="11"/>
        <v>0</v>
      </c>
      <c r="BH6" s="33">
        <f t="shared" si="11"/>
        <v>0</v>
      </c>
      <c r="BI6" s="33">
        <f t="shared" si="11"/>
        <v>0</v>
      </c>
      <c r="BJ6" s="33">
        <f t="shared" si="11"/>
        <v>0</v>
      </c>
      <c r="BK6" s="33">
        <f>SUM(BG6:BJ6)</f>
        <v>0</v>
      </c>
      <c r="BL6" s="50">
        <f>SUM(AL6,AV6,BA6,BF6,BK6)</f>
        <v>293155</v>
      </c>
      <c r="BM6" s="86" t="s">
        <v>149</v>
      </c>
      <c r="BN6" s="86" t="s">
        <v>149</v>
      </c>
      <c r="BO6" s="51" t="s">
        <v>37</v>
      </c>
      <c r="BP6" s="51" t="s">
        <v>44</v>
      </c>
      <c r="BQ6" s="52">
        <f t="shared" si="12"/>
        <v>41136</v>
      </c>
      <c r="BR6" s="52">
        <f t="shared" si="13"/>
        <v>41456</v>
      </c>
      <c r="BS6" s="53">
        <f>ROUND((1+VLOOKUP(BQ6,'Расчет инфляции'!$E$5:$F$370,2,0))*(1+'Расчет инфляции'!$B$18/12*5)-1,4)</f>
        <v>0.0787</v>
      </c>
      <c r="BT6" s="53">
        <f>ROUND((1+VLOOKUP(BR6,'Расчет инфляции'!$I$5:$J$370,2,0))*(1+'Расчет инфляции'!$B$19)*(1+'Расчет инфляции'!$B$18/12*5)-1,4)</f>
        <v>0.1484</v>
      </c>
      <c r="BU6" s="50">
        <f>AQ6+AV6+BA6</f>
        <v>293155</v>
      </c>
      <c r="BV6" s="50">
        <f>AL6-AQ6+BF6+BK6</f>
        <v>0</v>
      </c>
      <c r="BW6" s="192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>
        <f>30.744+159.642*0.7</f>
        <v>142.4934</v>
      </c>
      <c r="CJ6" s="87"/>
      <c r="CK6" s="87"/>
      <c r="CL6" s="87"/>
      <c r="CM6" s="87"/>
      <c r="CN6" s="87"/>
      <c r="CO6" s="87"/>
      <c r="CP6" s="87">
        <f>159.642*0.3</f>
        <v>47.892599999999995</v>
      </c>
      <c r="CQ6" s="87"/>
      <c r="CR6" s="87"/>
      <c r="CS6" s="87"/>
      <c r="CT6" s="87"/>
      <c r="CV6" s="49"/>
      <c r="CW6" s="49"/>
      <c r="CX6" s="49"/>
      <c r="CY6" s="49">
        <f>T6</f>
        <v>0</v>
      </c>
      <c r="CZ6" s="16" t="b">
        <f>ROUND(X6/SUM(Q6:R6,V6:W6),3)=E6</f>
        <v>1</v>
      </c>
      <c r="DA6" s="56">
        <f t="shared" si="14"/>
        <v>100000</v>
      </c>
      <c r="DB6" s="57">
        <v>1</v>
      </c>
      <c r="DC6" s="54">
        <f t="shared" si="15"/>
        <v>100000</v>
      </c>
      <c r="DD6" s="54">
        <v>100000</v>
      </c>
      <c r="DE6" s="54">
        <f t="shared" si="16"/>
        <v>293155</v>
      </c>
      <c r="DF6" s="54" t="b">
        <f t="shared" si="17"/>
        <v>1</v>
      </c>
    </row>
    <row r="7" spans="1:110" s="47" customFormat="1" ht="22.5">
      <c r="A7" s="6">
        <f>A6+1</f>
        <v>4</v>
      </c>
      <c r="B7" s="7"/>
      <c r="C7" s="8"/>
      <c r="D7" s="9"/>
      <c r="E7" s="10">
        <v>0.01</v>
      </c>
      <c r="F7" s="11"/>
      <c r="G7" s="12"/>
      <c r="H7" s="27" t="s">
        <v>142</v>
      </c>
      <c r="I7" s="28" t="s">
        <v>151</v>
      </c>
      <c r="J7" s="21"/>
      <c r="K7" s="29">
        <f>10711.41</f>
        <v>10711.41</v>
      </c>
      <c r="L7" s="29">
        <f>16688.47</f>
        <v>16688.47</v>
      </c>
      <c r="M7" s="29">
        <f>121353.88</f>
        <v>121353.88</v>
      </c>
      <c r="N7" s="29">
        <f>12960.82</f>
        <v>12960.82</v>
      </c>
      <c r="O7" s="29">
        <f>6962.42</f>
        <v>6962.42</v>
      </c>
      <c r="P7" s="32">
        <f>SUM(K7:O7)</f>
        <v>168677.00000000003</v>
      </c>
      <c r="Q7" s="30">
        <f t="shared" si="18"/>
        <v>168677.00000000003</v>
      </c>
      <c r="R7" s="29"/>
      <c r="S7" s="30"/>
      <c r="T7" s="30"/>
      <c r="U7" s="32">
        <f>SUM(Q7:T7)</f>
        <v>168677.00000000003</v>
      </c>
      <c r="V7" s="33">
        <f t="shared" si="2"/>
        <v>0</v>
      </c>
      <c r="W7" s="33">
        <f t="shared" si="2"/>
        <v>0</v>
      </c>
      <c r="X7" s="85">
        <f>ROUND($E7*SUM(Q7:R7,V7:W7),0)</f>
        <v>1687</v>
      </c>
      <c r="Y7" s="33"/>
      <c r="Z7" s="33"/>
      <c r="AA7" s="33"/>
      <c r="AB7" s="33">
        <f>ROUND(F7*SUM(U7:W7),0)</f>
        <v>0</v>
      </c>
      <c r="AC7" s="33">
        <f>ROUND(AG$1*SUM(Q7,V7,Y7),0)</f>
        <v>5060</v>
      </c>
      <c r="AD7" s="33">
        <f>ROUND(AG$1*SUM(R7,W7,Z7),0)</f>
        <v>0</v>
      </c>
      <c r="AE7" s="33">
        <f>ROUND(AG$1*S7,0)</f>
        <v>0</v>
      </c>
      <c r="AF7" s="33">
        <f>ROUND(AG$1*SUM(T7,X7,AA7:AB7),0)</f>
        <v>51</v>
      </c>
      <c r="AG7" s="33">
        <f>ROUND(SUM(AC7:AF7),0)</f>
        <v>5111</v>
      </c>
      <c r="AH7" s="33">
        <f t="shared" si="3"/>
        <v>173737.00000000003</v>
      </c>
      <c r="AI7" s="33">
        <f t="shared" si="3"/>
        <v>0</v>
      </c>
      <c r="AJ7" s="33">
        <f>S7+AE7</f>
        <v>0</v>
      </c>
      <c r="AK7" s="33">
        <f>T7+X7+AA7+AB7+AF7</f>
        <v>1738</v>
      </c>
      <c r="AL7" s="33">
        <f>SUM(AH7:AK7)</f>
        <v>175475.00000000003</v>
      </c>
      <c r="AM7" s="33">
        <f t="shared" si="4"/>
        <v>173737.00000000003</v>
      </c>
      <c r="AN7" s="33">
        <f t="shared" si="5"/>
        <v>0</v>
      </c>
      <c r="AO7" s="33">
        <f t="shared" si="6"/>
        <v>0</v>
      </c>
      <c r="AP7" s="33">
        <f t="shared" si="7"/>
        <v>1738</v>
      </c>
      <c r="AQ7" s="33">
        <f>SUM(AM7:AP7)</f>
        <v>175475.00000000003</v>
      </c>
      <c r="AR7" s="33">
        <f t="shared" si="8"/>
        <v>13673</v>
      </c>
      <c r="AS7" s="33">
        <f t="shared" si="8"/>
        <v>0</v>
      </c>
      <c r="AT7" s="33">
        <f t="shared" si="8"/>
        <v>0</v>
      </c>
      <c r="AU7" s="33">
        <f t="shared" si="8"/>
        <v>137</v>
      </c>
      <c r="AV7" s="33">
        <f>SUM(AR7:AU7)</f>
        <v>13810</v>
      </c>
      <c r="AW7" s="33">
        <f t="shared" si="9"/>
        <v>33734</v>
      </c>
      <c r="AX7" s="33">
        <f t="shared" si="9"/>
        <v>0</v>
      </c>
      <c r="AY7" s="33">
        <f t="shared" si="9"/>
        <v>0</v>
      </c>
      <c r="AZ7" s="33">
        <f t="shared" si="9"/>
        <v>338</v>
      </c>
      <c r="BA7" s="33">
        <f>SUM(AW7:AZ7)</f>
        <v>34072</v>
      </c>
      <c r="BB7" s="33">
        <f t="shared" si="10"/>
        <v>0</v>
      </c>
      <c r="BC7" s="33">
        <f t="shared" si="10"/>
        <v>0</v>
      </c>
      <c r="BD7" s="33">
        <f t="shared" si="10"/>
        <v>0</v>
      </c>
      <c r="BE7" s="33">
        <f t="shared" si="10"/>
        <v>0</v>
      </c>
      <c r="BF7" s="33">
        <f>SUM(BB7:BE7)</f>
        <v>0</v>
      </c>
      <c r="BG7" s="33">
        <f t="shared" si="11"/>
        <v>0</v>
      </c>
      <c r="BH7" s="33">
        <f t="shared" si="11"/>
        <v>0</v>
      </c>
      <c r="BI7" s="33">
        <f t="shared" si="11"/>
        <v>0</v>
      </c>
      <c r="BJ7" s="33">
        <f t="shared" si="11"/>
        <v>0</v>
      </c>
      <c r="BK7" s="33">
        <f>SUM(BG7:BJ7)</f>
        <v>0</v>
      </c>
      <c r="BL7" s="50">
        <f>SUM(AL7,AV7,BA7,BF7,BK7)</f>
        <v>223357.00000000003</v>
      </c>
      <c r="BM7" s="86" t="s">
        <v>149</v>
      </c>
      <c r="BN7" s="86" t="s">
        <v>149</v>
      </c>
      <c r="BO7" s="51" t="s">
        <v>37</v>
      </c>
      <c r="BP7" s="51" t="s">
        <v>44</v>
      </c>
      <c r="BQ7" s="52">
        <f t="shared" si="12"/>
        <v>41136</v>
      </c>
      <c r="BR7" s="52">
        <f t="shared" si="13"/>
        <v>41456</v>
      </c>
      <c r="BS7" s="53">
        <f>ROUND((1+VLOOKUP(BQ7,'Расчет инфляции'!$E$5:$F$370,2,0))*(1+'Расчет инфляции'!$B$18/12*5)-1,4)</f>
        <v>0.0787</v>
      </c>
      <c r="BT7" s="53">
        <f>ROUND((1+VLOOKUP(BR7,'Расчет инфляции'!$I$5:$J$370,2,0))*(1+'Расчет инфляции'!$B$19)*(1+'Расчет инфляции'!$B$18/12*5)-1,4)</f>
        <v>0.1484</v>
      </c>
      <c r="BU7" s="50">
        <f>AQ7+AV7+BA7</f>
        <v>223357.00000000003</v>
      </c>
      <c r="BV7" s="50">
        <f>AL7-AQ7+BF7+BK7</f>
        <v>0</v>
      </c>
      <c r="BW7" s="192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>
        <f>23.424+121.632*0.7</f>
        <v>108.56639999999999</v>
      </c>
      <c r="CJ7" s="87"/>
      <c r="CK7" s="87"/>
      <c r="CL7" s="87"/>
      <c r="CM7" s="87"/>
      <c r="CN7" s="87"/>
      <c r="CO7" s="87"/>
      <c r="CP7" s="87">
        <f>121.632*0.3</f>
        <v>36.4896</v>
      </c>
      <c r="CQ7" s="87"/>
      <c r="CR7" s="87"/>
      <c r="CS7" s="87"/>
      <c r="CT7" s="87"/>
      <c r="CV7" s="49"/>
      <c r="CW7" s="49"/>
      <c r="CX7" s="49"/>
      <c r="CY7" s="49">
        <f>T7</f>
        <v>0</v>
      </c>
      <c r="CZ7" s="16" t="b">
        <f>ROUND(X7/SUM(Q7:R7,V7:W7),3)=E7</f>
        <v>1</v>
      </c>
      <c r="DA7" s="56">
        <f t="shared" si="14"/>
        <v>100000</v>
      </c>
      <c r="DB7" s="57">
        <v>1</v>
      </c>
      <c r="DC7" s="54">
        <f t="shared" si="15"/>
        <v>100000</v>
      </c>
      <c r="DD7" s="54">
        <v>100000</v>
      </c>
      <c r="DE7" s="54">
        <f t="shared" si="16"/>
        <v>223357</v>
      </c>
      <c r="DF7" s="54" t="b">
        <f t="shared" si="17"/>
        <v>1</v>
      </c>
    </row>
    <row r="8" spans="1:110" s="47" customFormat="1" ht="12.75">
      <c r="A8" s="6">
        <f>A7+1</f>
        <v>5</v>
      </c>
      <c r="B8" s="7"/>
      <c r="C8" s="8"/>
      <c r="D8" s="9"/>
      <c r="E8" s="10">
        <v>0.01</v>
      </c>
      <c r="F8" s="11"/>
      <c r="G8" s="12"/>
      <c r="H8" s="27"/>
      <c r="I8" s="28"/>
      <c r="J8" s="21"/>
      <c r="K8" s="29"/>
      <c r="L8" s="29"/>
      <c r="M8" s="29"/>
      <c r="N8" s="29"/>
      <c r="O8" s="29"/>
      <c r="P8" s="32">
        <f>SUM(K8:O8)</f>
        <v>0</v>
      </c>
      <c r="Q8" s="30">
        <f t="shared" si="18"/>
        <v>0</v>
      </c>
      <c r="R8" s="29"/>
      <c r="S8" s="30"/>
      <c r="T8" s="30"/>
      <c r="U8" s="32">
        <f>SUM(Q8:T8)</f>
        <v>0</v>
      </c>
      <c r="V8" s="33">
        <f t="shared" si="2"/>
        <v>0</v>
      </c>
      <c r="W8" s="33">
        <f t="shared" si="2"/>
        <v>0</v>
      </c>
      <c r="X8" s="85"/>
      <c r="Y8" s="33"/>
      <c r="Z8" s="33"/>
      <c r="AA8" s="33"/>
      <c r="AB8" s="33">
        <f>ROUND(F8*SUM(U8:W8),0)</f>
        <v>0</v>
      </c>
      <c r="AC8" s="33">
        <f>ROUND(AG$1*SUM(Q8,V8,Y8),0)</f>
        <v>0</v>
      </c>
      <c r="AD8" s="33">
        <f>ROUND(AG$1*SUM(R8,W8,Z8),0)</f>
        <v>0</v>
      </c>
      <c r="AE8" s="33">
        <f>ROUND(AG$1*S8,0)</f>
        <v>0</v>
      </c>
      <c r="AF8" s="33">
        <f>ROUND(AG$1*SUM(T8,X8,AA8:AB8),0)</f>
        <v>0</v>
      </c>
      <c r="AG8" s="33">
        <f>ROUND(SUM(AC8:AF8),0)</f>
        <v>0</v>
      </c>
      <c r="AH8" s="33">
        <f t="shared" si="3"/>
        <v>0</v>
      </c>
      <c r="AI8" s="33">
        <f t="shared" si="3"/>
        <v>0</v>
      </c>
      <c r="AJ8" s="33">
        <f>S8+AE8</f>
        <v>0</v>
      </c>
      <c r="AK8" s="33">
        <f>T8+X8+AA8+AB8+AF8</f>
        <v>0</v>
      </c>
      <c r="AL8" s="33">
        <f>SUM(AH8:AK8)</f>
        <v>0</v>
      </c>
      <c r="AM8" s="33">
        <f t="shared" si="4"/>
        <v>0</v>
      </c>
      <c r="AN8" s="33">
        <f t="shared" si="5"/>
        <v>0</v>
      </c>
      <c r="AO8" s="33">
        <f t="shared" si="6"/>
        <v>0</v>
      </c>
      <c r="AP8" s="33">
        <f t="shared" si="7"/>
        <v>0</v>
      </c>
      <c r="AQ8" s="33">
        <f>SUM(AM8:AP8)</f>
        <v>0</v>
      </c>
      <c r="AR8" s="33">
        <f t="shared" si="8"/>
        <v>0</v>
      </c>
      <c r="AS8" s="33">
        <f t="shared" si="8"/>
        <v>0</v>
      </c>
      <c r="AT8" s="33">
        <f t="shared" si="8"/>
        <v>0</v>
      </c>
      <c r="AU8" s="33">
        <f t="shared" si="8"/>
        <v>0</v>
      </c>
      <c r="AV8" s="33">
        <f>SUM(AR8:AU8)</f>
        <v>0</v>
      </c>
      <c r="AW8" s="33">
        <f t="shared" si="9"/>
        <v>0</v>
      </c>
      <c r="AX8" s="33">
        <f t="shared" si="9"/>
        <v>0</v>
      </c>
      <c r="AY8" s="33">
        <f t="shared" si="9"/>
        <v>0</v>
      </c>
      <c r="AZ8" s="33">
        <f t="shared" si="9"/>
        <v>0</v>
      </c>
      <c r="BA8" s="33">
        <f>SUM(AW8:AZ8)</f>
        <v>0</v>
      </c>
      <c r="BB8" s="33">
        <f t="shared" si="10"/>
        <v>0</v>
      </c>
      <c r="BC8" s="33">
        <f t="shared" si="10"/>
        <v>0</v>
      </c>
      <c r="BD8" s="33">
        <f t="shared" si="10"/>
        <v>0</v>
      </c>
      <c r="BE8" s="33">
        <f t="shared" si="10"/>
        <v>0</v>
      </c>
      <c r="BF8" s="33">
        <f>SUM(BB8:BE8)</f>
        <v>0</v>
      </c>
      <c r="BG8" s="33">
        <f t="shared" si="11"/>
        <v>0</v>
      </c>
      <c r="BH8" s="33">
        <f t="shared" si="11"/>
        <v>0</v>
      </c>
      <c r="BI8" s="33">
        <f t="shared" si="11"/>
        <v>0</v>
      </c>
      <c r="BJ8" s="33">
        <f t="shared" si="11"/>
        <v>0</v>
      </c>
      <c r="BK8" s="33">
        <f>SUM(BG8:BJ8)</f>
        <v>0</v>
      </c>
      <c r="BL8" s="50">
        <f>SUM(AL8,AV8,BA8,BF8,BK8)</f>
        <v>0</v>
      </c>
      <c r="BM8" s="86" t="s">
        <v>37</v>
      </c>
      <c r="BN8" s="86" t="s">
        <v>44</v>
      </c>
      <c r="BO8" s="51" t="s">
        <v>37</v>
      </c>
      <c r="BP8" s="51" t="s">
        <v>44</v>
      </c>
      <c r="BQ8" s="52">
        <f t="shared" si="12"/>
        <v>41091</v>
      </c>
      <c r="BR8" s="52">
        <f t="shared" si="13"/>
        <v>41456</v>
      </c>
      <c r="BS8" s="53">
        <f>ROUND((1+VLOOKUP(BQ8,'Расчет инфляции'!$E$5:$F$370,2,0))*(1+'Расчет инфляции'!$B$18/12*5)-1,4)</f>
        <v>0.0725</v>
      </c>
      <c r="BT8" s="53">
        <f>ROUND((1+VLOOKUP(BR8,'Расчет инфляции'!$I$5:$J$370,2,0))*(1+'Расчет инфляции'!$B$19)*(1+'Расчет инфляции'!$B$18/12*5)-1,4)</f>
        <v>0.1484</v>
      </c>
      <c r="BU8" s="50">
        <f>AQ8+AV8+BA8</f>
        <v>0</v>
      </c>
      <c r="BV8" s="50">
        <f>AL8-AQ8+BF8+BK8</f>
        <v>0</v>
      </c>
      <c r="BW8" s="192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V8" s="49"/>
      <c r="CW8" s="49"/>
      <c r="CX8" s="49"/>
      <c r="CY8" s="49">
        <f>T8</f>
        <v>0</v>
      </c>
      <c r="CZ8" s="16" t="e">
        <f>ROUND(X8/SUM(Q8:R8,V8:W8),3)=E8</f>
        <v>#DIV/0!</v>
      </c>
      <c r="DA8" s="56" t="e">
        <f t="shared" si="14"/>
        <v>#DIV/0!</v>
      </c>
      <c r="DB8" s="57">
        <v>1</v>
      </c>
      <c r="DC8" s="54">
        <f t="shared" si="15"/>
        <v>100000</v>
      </c>
      <c r="DD8" s="54">
        <v>100000</v>
      </c>
      <c r="DE8" s="54">
        <f t="shared" si="16"/>
        <v>0</v>
      </c>
      <c r="DF8" s="54" t="b">
        <f t="shared" si="17"/>
        <v>1</v>
      </c>
    </row>
    <row r="9" spans="1:110" s="47" customFormat="1" ht="12.75">
      <c r="A9" s="6">
        <f aca="true" t="shared" si="19" ref="A9:A34">A8+1</f>
        <v>6</v>
      </c>
      <c r="B9" s="7"/>
      <c r="C9" s="8"/>
      <c r="D9" s="9"/>
      <c r="E9" s="10">
        <v>0.01</v>
      </c>
      <c r="F9" s="11"/>
      <c r="G9" s="12"/>
      <c r="H9" s="27"/>
      <c r="I9" s="28"/>
      <c r="J9" s="21"/>
      <c r="K9" s="29"/>
      <c r="L9" s="29"/>
      <c r="M9" s="29"/>
      <c r="N9" s="29"/>
      <c r="O9" s="29"/>
      <c r="P9" s="32">
        <f aca="true" t="shared" si="20" ref="P9:P33">SUM(K9:O9)</f>
        <v>0</v>
      </c>
      <c r="Q9" s="30">
        <f t="shared" si="18"/>
        <v>0</v>
      </c>
      <c r="R9" s="29"/>
      <c r="S9" s="30"/>
      <c r="T9" s="30"/>
      <c r="U9" s="32">
        <f aca="true" t="shared" si="21" ref="U9:U33">SUM(Q9:T9)</f>
        <v>0</v>
      </c>
      <c r="V9" s="33">
        <f aca="true" t="shared" si="22" ref="V9:V33">ROUND($D9*Q9,0)</f>
        <v>0</v>
      </c>
      <c r="W9" s="33">
        <f aca="true" t="shared" si="23" ref="W9:W33">ROUND($D9*R9,0)</f>
        <v>0</v>
      </c>
      <c r="X9" s="85"/>
      <c r="Y9" s="33"/>
      <c r="Z9" s="33"/>
      <c r="AA9" s="33"/>
      <c r="AB9" s="33">
        <f aca="true" t="shared" si="24" ref="AB9:AB33">ROUND(F9*SUM(U9:W9),0)</f>
        <v>0</v>
      </c>
      <c r="AC9" s="33">
        <f aca="true" t="shared" si="25" ref="AC9:AC33">ROUND(AG$1*SUM(Q9,V9,Y9),0)</f>
        <v>0</v>
      </c>
      <c r="AD9" s="33">
        <f aca="true" t="shared" si="26" ref="AD9:AD33">ROUND(AG$1*SUM(R9,W9,Z9),0)</f>
        <v>0</v>
      </c>
      <c r="AE9" s="33">
        <f aca="true" t="shared" si="27" ref="AE9:AE33">ROUND(AG$1*S9,0)</f>
        <v>0</v>
      </c>
      <c r="AF9" s="33">
        <f aca="true" t="shared" si="28" ref="AF9:AF33">ROUND(AG$1*SUM(T9,X9,AA9:AB9),0)</f>
        <v>0</v>
      </c>
      <c r="AG9" s="33">
        <f aca="true" t="shared" si="29" ref="AG9:AG33">ROUND(SUM(AC9:AF9),0)</f>
        <v>0</v>
      </c>
      <c r="AH9" s="33">
        <f aca="true" t="shared" si="30" ref="AH9:AH33">Q9+V9+Y9+AC9</f>
        <v>0</v>
      </c>
      <c r="AI9" s="33">
        <f aca="true" t="shared" si="31" ref="AI9:AI33">R9+W9+Z9+AD9</f>
        <v>0</v>
      </c>
      <c r="AJ9" s="33">
        <f aca="true" t="shared" si="32" ref="AJ9:AJ33">S9+AE9</f>
        <v>0</v>
      </c>
      <c r="AK9" s="33">
        <f aca="true" t="shared" si="33" ref="AK9:AK33">T9+X9+AA9+AB9+AF9</f>
        <v>0</v>
      </c>
      <c r="AL9" s="33">
        <f aca="true" t="shared" si="34" ref="AL9:AL33">SUM(AH9:AK9)</f>
        <v>0</v>
      </c>
      <c r="AM9" s="33">
        <f t="shared" si="4"/>
        <v>0</v>
      </c>
      <c r="AN9" s="33">
        <f t="shared" si="5"/>
        <v>0</v>
      </c>
      <c r="AO9" s="33">
        <f t="shared" si="6"/>
        <v>0</v>
      </c>
      <c r="AP9" s="33">
        <f t="shared" si="7"/>
        <v>0</v>
      </c>
      <c r="AQ9" s="33">
        <f aca="true" t="shared" si="35" ref="AQ9:AQ33">SUM(AM9:AP9)</f>
        <v>0</v>
      </c>
      <c r="AR9" s="33">
        <f aca="true" t="shared" si="36" ref="AR9:AR33">ROUND($BS9*AM9,0)</f>
        <v>0</v>
      </c>
      <c r="AS9" s="33">
        <f aca="true" t="shared" si="37" ref="AS9:AS33">ROUND($BS9*AN9,0)</f>
        <v>0</v>
      </c>
      <c r="AT9" s="33">
        <f aca="true" t="shared" si="38" ref="AT9:AT33">ROUND($BS9*AO9,0)</f>
        <v>0</v>
      </c>
      <c r="AU9" s="33">
        <f aca="true" t="shared" si="39" ref="AU9:AU33">ROUND($BS9*AP9,0)</f>
        <v>0</v>
      </c>
      <c r="AV9" s="33">
        <f aca="true" t="shared" si="40" ref="AV9:AV33">SUM(AR9:AU9)</f>
        <v>0</v>
      </c>
      <c r="AW9" s="33">
        <f aca="true" t="shared" si="41" ref="AW9:AW33">ROUND(18%*SUM(AM9,AR9),0)</f>
        <v>0</v>
      </c>
      <c r="AX9" s="33">
        <f aca="true" t="shared" si="42" ref="AX9:AX33">ROUND(18%*SUM(AN9,AS9),0)</f>
        <v>0</v>
      </c>
      <c r="AY9" s="33">
        <f aca="true" t="shared" si="43" ref="AY9:AY33">ROUND(18%*SUM(AO9,AT9),0)</f>
        <v>0</v>
      </c>
      <c r="AZ9" s="33">
        <f aca="true" t="shared" si="44" ref="AZ9:AZ33">ROUND(18%*SUM(AP9,AU9),0)</f>
        <v>0</v>
      </c>
      <c r="BA9" s="33">
        <f aca="true" t="shared" si="45" ref="BA9:BA33">SUM(AW9:AZ9)</f>
        <v>0</v>
      </c>
      <c r="BB9" s="33">
        <f aca="true" t="shared" si="46" ref="BB9:BB33">ROUND($BT9*(AH9-AM9),0)</f>
        <v>0</v>
      </c>
      <c r="BC9" s="33">
        <f aca="true" t="shared" si="47" ref="BC9:BC33">ROUND($BT9*(AI9-AN9),0)</f>
        <v>0</v>
      </c>
      <c r="BD9" s="33">
        <f aca="true" t="shared" si="48" ref="BD9:BD33">ROUND($BT9*(AJ9-AO9),0)</f>
        <v>0</v>
      </c>
      <c r="BE9" s="33">
        <f aca="true" t="shared" si="49" ref="BE9:BE33">ROUND($BT9*(AK9-AP9),0)</f>
        <v>0</v>
      </c>
      <c r="BF9" s="33">
        <f aca="true" t="shared" si="50" ref="BF9:BF33">SUM(BB9:BE9)</f>
        <v>0</v>
      </c>
      <c r="BG9" s="33">
        <f aca="true" t="shared" si="51" ref="BG9:BG33">ROUND(18%*(AH9-AM9+BB9),0)</f>
        <v>0</v>
      </c>
      <c r="BH9" s="33">
        <f aca="true" t="shared" si="52" ref="BH9:BH33">ROUND(18%*(AI9-AN9+BC9),0)</f>
        <v>0</v>
      </c>
      <c r="BI9" s="33">
        <f aca="true" t="shared" si="53" ref="BI9:BI33">ROUND(18%*(AJ9-AO9+BD9),0)</f>
        <v>0</v>
      </c>
      <c r="BJ9" s="33">
        <f aca="true" t="shared" si="54" ref="BJ9:BJ33">ROUND(18%*(AK9-AP9+BE9),0)</f>
        <v>0</v>
      </c>
      <c r="BK9" s="33">
        <f aca="true" t="shared" si="55" ref="BK9:BK33">SUM(BG9:BJ9)</f>
        <v>0</v>
      </c>
      <c r="BL9" s="50">
        <f aca="true" t="shared" si="56" ref="BL9:BL33">SUM(AL9,AV9,BA9,BF9,BK9)</f>
        <v>0</v>
      </c>
      <c r="BM9" s="86" t="s">
        <v>37</v>
      </c>
      <c r="BN9" s="86" t="s">
        <v>44</v>
      </c>
      <c r="BO9" s="51" t="s">
        <v>37</v>
      </c>
      <c r="BP9" s="51" t="s">
        <v>44</v>
      </c>
      <c r="BQ9" s="52">
        <f t="shared" si="12"/>
        <v>41091</v>
      </c>
      <c r="BR9" s="52">
        <f t="shared" si="13"/>
        <v>41456</v>
      </c>
      <c r="BS9" s="53">
        <f>ROUND((1+VLOOKUP(BQ9,'Расчет инфляции'!$E$5:$F$370,2,0))*(1+'Расчет инфляции'!$B$18/12*5)-1,4)</f>
        <v>0.0725</v>
      </c>
      <c r="BT9" s="53">
        <f>ROUND((1+VLOOKUP(BR9,'Расчет инфляции'!$I$5:$J$370,2,0))*(1+'Расчет инфляции'!$B$19)*(1+'Расчет инфляции'!$B$18/12*5)-1,4)</f>
        <v>0.1484</v>
      </c>
      <c r="BU9" s="50">
        <f aca="true" t="shared" si="57" ref="BU9:BU33">AQ9+AV9+BA9</f>
        <v>0</v>
      </c>
      <c r="BV9" s="50">
        <f aca="true" t="shared" si="58" ref="BV9:BV33">AL9-AQ9+BF9+BK9</f>
        <v>0</v>
      </c>
      <c r="BW9" s="192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V9" s="49"/>
      <c r="CW9" s="49"/>
      <c r="CX9" s="49"/>
      <c r="CY9" s="49">
        <f aca="true" t="shared" si="59" ref="CY9:CY33">T9</f>
        <v>0</v>
      </c>
      <c r="CZ9" s="16" t="e">
        <f aca="true" t="shared" si="60" ref="CZ9:CZ33">ROUND(X9/SUM(Q9:R9,V9:W9),3)=E9</f>
        <v>#DIV/0!</v>
      </c>
      <c r="DA9" s="56" t="e">
        <f t="shared" si="14"/>
        <v>#DIV/0!</v>
      </c>
      <c r="DB9" s="57">
        <v>1</v>
      </c>
      <c r="DC9" s="54">
        <f t="shared" si="15"/>
        <v>100000</v>
      </c>
      <c r="DD9" s="54">
        <v>100000</v>
      </c>
      <c r="DE9" s="54">
        <f t="shared" si="16"/>
        <v>0</v>
      </c>
      <c r="DF9" s="54" t="b">
        <f t="shared" si="17"/>
        <v>1</v>
      </c>
    </row>
    <row r="10" spans="1:110" s="47" customFormat="1" ht="12.75">
      <c r="A10" s="6">
        <f t="shared" si="19"/>
        <v>7</v>
      </c>
      <c r="B10" s="7"/>
      <c r="C10" s="8"/>
      <c r="D10" s="9"/>
      <c r="E10" s="10">
        <v>0.01</v>
      </c>
      <c r="F10" s="11"/>
      <c r="G10" s="12"/>
      <c r="H10" s="27"/>
      <c r="I10" s="28"/>
      <c r="J10" s="21"/>
      <c r="K10" s="29"/>
      <c r="L10" s="29"/>
      <c r="M10" s="29"/>
      <c r="N10" s="29"/>
      <c r="O10" s="29"/>
      <c r="P10" s="32">
        <f t="shared" si="20"/>
        <v>0</v>
      </c>
      <c r="Q10" s="30">
        <f t="shared" si="18"/>
        <v>0</v>
      </c>
      <c r="R10" s="29"/>
      <c r="S10" s="30"/>
      <c r="T10" s="30"/>
      <c r="U10" s="32">
        <f t="shared" si="21"/>
        <v>0</v>
      </c>
      <c r="V10" s="33">
        <f t="shared" si="22"/>
        <v>0</v>
      </c>
      <c r="W10" s="33">
        <f t="shared" si="23"/>
        <v>0</v>
      </c>
      <c r="X10" s="85"/>
      <c r="Y10" s="33"/>
      <c r="Z10" s="33"/>
      <c r="AA10" s="33"/>
      <c r="AB10" s="33">
        <f t="shared" si="24"/>
        <v>0</v>
      </c>
      <c r="AC10" s="33">
        <f t="shared" si="25"/>
        <v>0</v>
      </c>
      <c r="AD10" s="33">
        <f t="shared" si="26"/>
        <v>0</v>
      </c>
      <c r="AE10" s="33">
        <f t="shared" si="27"/>
        <v>0</v>
      </c>
      <c r="AF10" s="33">
        <f t="shared" si="28"/>
        <v>0</v>
      </c>
      <c r="AG10" s="33">
        <f t="shared" si="29"/>
        <v>0</v>
      </c>
      <c r="AH10" s="33">
        <f t="shared" si="30"/>
        <v>0</v>
      </c>
      <c r="AI10" s="33">
        <f t="shared" si="31"/>
        <v>0</v>
      </c>
      <c r="AJ10" s="33">
        <f t="shared" si="32"/>
        <v>0</v>
      </c>
      <c r="AK10" s="33">
        <f t="shared" si="33"/>
        <v>0</v>
      </c>
      <c r="AL10" s="33">
        <f t="shared" si="34"/>
        <v>0</v>
      </c>
      <c r="AM10" s="33">
        <f t="shared" si="4"/>
        <v>0</v>
      </c>
      <c r="AN10" s="33">
        <f t="shared" si="5"/>
        <v>0</v>
      </c>
      <c r="AO10" s="33">
        <f t="shared" si="6"/>
        <v>0</v>
      </c>
      <c r="AP10" s="33">
        <f t="shared" si="7"/>
        <v>0</v>
      </c>
      <c r="AQ10" s="33">
        <f t="shared" si="35"/>
        <v>0</v>
      </c>
      <c r="AR10" s="33">
        <f t="shared" si="36"/>
        <v>0</v>
      </c>
      <c r="AS10" s="33">
        <f t="shared" si="37"/>
        <v>0</v>
      </c>
      <c r="AT10" s="33">
        <f t="shared" si="38"/>
        <v>0</v>
      </c>
      <c r="AU10" s="33">
        <f t="shared" si="39"/>
        <v>0</v>
      </c>
      <c r="AV10" s="33">
        <f t="shared" si="40"/>
        <v>0</v>
      </c>
      <c r="AW10" s="33">
        <f t="shared" si="41"/>
        <v>0</v>
      </c>
      <c r="AX10" s="33">
        <f t="shared" si="42"/>
        <v>0</v>
      </c>
      <c r="AY10" s="33">
        <f t="shared" si="43"/>
        <v>0</v>
      </c>
      <c r="AZ10" s="33">
        <f t="shared" si="44"/>
        <v>0</v>
      </c>
      <c r="BA10" s="33">
        <f t="shared" si="45"/>
        <v>0</v>
      </c>
      <c r="BB10" s="33">
        <f t="shared" si="46"/>
        <v>0</v>
      </c>
      <c r="BC10" s="33">
        <f t="shared" si="47"/>
        <v>0</v>
      </c>
      <c r="BD10" s="33">
        <f t="shared" si="48"/>
        <v>0</v>
      </c>
      <c r="BE10" s="33">
        <f t="shared" si="49"/>
        <v>0</v>
      </c>
      <c r="BF10" s="33">
        <f t="shared" si="50"/>
        <v>0</v>
      </c>
      <c r="BG10" s="33">
        <f t="shared" si="51"/>
        <v>0</v>
      </c>
      <c r="BH10" s="33">
        <f t="shared" si="52"/>
        <v>0</v>
      </c>
      <c r="BI10" s="33">
        <f t="shared" si="53"/>
        <v>0</v>
      </c>
      <c r="BJ10" s="33">
        <f t="shared" si="54"/>
        <v>0</v>
      </c>
      <c r="BK10" s="33">
        <f t="shared" si="55"/>
        <v>0</v>
      </c>
      <c r="BL10" s="50">
        <f t="shared" si="56"/>
        <v>0</v>
      </c>
      <c r="BM10" s="86" t="s">
        <v>37</v>
      </c>
      <c r="BN10" s="86" t="s">
        <v>44</v>
      </c>
      <c r="BO10" s="51" t="s">
        <v>37</v>
      </c>
      <c r="BP10" s="51" t="s">
        <v>44</v>
      </c>
      <c r="BQ10" s="52">
        <f t="shared" si="12"/>
        <v>41091</v>
      </c>
      <c r="BR10" s="52">
        <f t="shared" si="13"/>
        <v>41456</v>
      </c>
      <c r="BS10" s="53">
        <f>ROUND((1+VLOOKUP(BQ10,'Расчет инфляции'!$E$5:$F$370,2,0))*(1+'Расчет инфляции'!$B$18/12*5)-1,4)</f>
        <v>0.0725</v>
      </c>
      <c r="BT10" s="53">
        <f>ROUND((1+VLOOKUP(BR10,'Расчет инфляции'!$I$5:$J$370,2,0))*(1+'Расчет инфляции'!$B$19)*(1+'Расчет инфляции'!$B$18/12*5)-1,4)</f>
        <v>0.1484</v>
      </c>
      <c r="BU10" s="50">
        <f t="shared" si="57"/>
        <v>0</v>
      </c>
      <c r="BV10" s="50">
        <f t="shared" si="58"/>
        <v>0</v>
      </c>
      <c r="BW10" s="192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V10" s="49"/>
      <c r="CW10" s="49"/>
      <c r="CX10" s="49"/>
      <c r="CY10" s="49">
        <f t="shared" si="59"/>
        <v>0</v>
      </c>
      <c r="CZ10" s="16" t="e">
        <f t="shared" si="60"/>
        <v>#DIV/0!</v>
      </c>
      <c r="DA10" s="56" t="e">
        <f t="shared" si="14"/>
        <v>#DIV/0!</v>
      </c>
      <c r="DB10" s="57">
        <v>1</v>
      </c>
      <c r="DC10" s="54">
        <f t="shared" si="15"/>
        <v>100000</v>
      </c>
      <c r="DD10" s="54">
        <v>100000</v>
      </c>
      <c r="DE10" s="54">
        <f t="shared" si="16"/>
        <v>0</v>
      </c>
      <c r="DF10" s="54" t="b">
        <f t="shared" si="17"/>
        <v>1</v>
      </c>
    </row>
    <row r="11" spans="1:110" s="47" customFormat="1" ht="12.75">
      <c r="A11" s="6">
        <f t="shared" si="19"/>
        <v>8</v>
      </c>
      <c r="B11" s="7"/>
      <c r="C11" s="8"/>
      <c r="D11" s="9"/>
      <c r="E11" s="10">
        <v>0.01</v>
      </c>
      <c r="F11" s="11"/>
      <c r="G11" s="12"/>
      <c r="H11" s="27"/>
      <c r="I11" s="28"/>
      <c r="J11" s="21"/>
      <c r="K11" s="29"/>
      <c r="L11" s="29"/>
      <c r="M11" s="29"/>
      <c r="N11" s="29"/>
      <c r="O11" s="29"/>
      <c r="P11" s="32">
        <f t="shared" si="20"/>
        <v>0</v>
      </c>
      <c r="Q11" s="30">
        <f t="shared" si="18"/>
        <v>0</v>
      </c>
      <c r="R11" s="29"/>
      <c r="S11" s="30"/>
      <c r="T11" s="30"/>
      <c r="U11" s="32">
        <f t="shared" si="21"/>
        <v>0</v>
      </c>
      <c r="V11" s="33">
        <f t="shared" si="22"/>
        <v>0</v>
      </c>
      <c r="W11" s="33">
        <f t="shared" si="23"/>
        <v>0</v>
      </c>
      <c r="X11" s="85"/>
      <c r="Y11" s="33"/>
      <c r="Z11" s="33"/>
      <c r="AA11" s="33"/>
      <c r="AB11" s="33">
        <f t="shared" si="24"/>
        <v>0</v>
      </c>
      <c r="AC11" s="33">
        <f t="shared" si="25"/>
        <v>0</v>
      </c>
      <c r="AD11" s="33">
        <f t="shared" si="26"/>
        <v>0</v>
      </c>
      <c r="AE11" s="33">
        <f t="shared" si="27"/>
        <v>0</v>
      </c>
      <c r="AF11" s="33">
        <f t="shared" si="28"/>
        <v>0</v>
      </c>
      <c r="AG11" s="33">
        <f t="shared" si="29"/>
        <v>0</v>
      </c>
      <c r="AH11" s="33">
        <f t="shared" si="30"/>
        <v>0</v>
      </c>
      <c r="AI11" s="33">
        <f t="shared" si="31"/>
        <v>0</v>
      </c>
      <c r="AJ11" s="33">
        <f t="shared" si="32"/>
        <v>0</v>
      </c>
      <c r="AK11" s="33">
        <f t="shared" si="33"/>
        <v>0</v>
      </c>
      <c r="AL11" s="33">
        <f t="shared" si="34"/>
        <v>0</v>
      </c>
      <c r="AM11" s="33">
        <f t="shared" si="4"/>
        <v>0</v>
      </c>
      <c r="AN11" s="33">
        <f t="shared" si="5"/>
        <v>0</v>
      </c>
      <c r="AO11" s="33">
        <f t="shared" si="6"/>
        <v>0</v>
      </c>
      <c r="AP11" s="33">
        <f t="shared" si="7"/>
        <v>0</v>
      </c>
      <c r="AQ11" s="33">
        <f t="shared" si="35"/>
        <v>0</v>
      </c>
      <c r="AR11" s="33">
        <f t="shared" si="36"/>
        <v>0</v>
      </c>
      <c r="AS11" s="33">
        <f t="shared" si="37"/>
        <v>0</v>
      </c>
      <c r="AT11" s="33">
        <f t="shared" si="38"/>
        <v>0</v>
      </c>
      <c r="AU11" s="33">
        <f t="shared" si="39"/>
        <v>0</v>
      </c>
      <c r="AV11" s="33">
        <f t="shared" si="40"/>
        <v>0</v>
      </c>
      <c r="AW11" s="33">
        <f t="shared" si="41"/>
        <v>0</v>
      </c>
      <c r="AX11" s="33">
        <f t="shared" si="42"/>
        <v>0</v>
      </c>
      <c r="AY11" s="33">
        <f t="shared" si="43"/>
        <v>0</v>
      </c>
      <c r="AZ11" s="33">
        <f t="shared" si="44"/>
        <v>0</v>
      </c>
      <c r="BA11" s="33">
        <f t="shared" si="45"/>
        <v>0</v>
      </c>
      <c r="BB11" s="33">
        <f t="shared" si="46"/>
        <v>0</v>
      </c>
      <c r="BC11" s="33">
        <f t="shared" si="47"/>
        <v>0</v>
      </c>
      <c r="BD11" s="33">
        <f t="shared" si="48"/>
        <v>0</v>
      </c>
      <c r="BE11" s="33">
        <f t="shared" si="49"/>
        <v>0</v>
      </c>
      <c r="BF11" s="33">
        <f t="shared" si="50"/>
        <v>0</v>
      </c>
      <c r="BG11" s="33">
        <f t="shared" si="51"/>
        <v>0</v>
      </c>
      <c r="BH11" s="33">
        <f t="shared" si="52"/>
        <v>0</v>
      </c>
      <c r="BI11" s="33">
        <f t="shared" si="53"/>
        <v>0</v>
      </c>
      <c r="BJ11" s="33">
        <f t="shared" si="54"/>
        <v>0</v>
      </c>
      <c r="BK11" s="33">
        <f t="shared" si="55"/>
        <v>0</v>
      </c>
      <c r="BL11" s="50">
        <f t="shared" si="56"/>
        <v>0</v>
      </c>
      <c r="BM11" s="86" t="s">
        <v>37</v>
      </c>
      <c r="BN11" s="86" t="s">
        <v>44</v>
      </c>
      <c r="BO11" s="51" t="s">
        <v>37</v>
      </c>
      <c r="BP11" s="51" t="s">
        <v>44</v>
      </c>
      <c r="BQ11" s="52">
        <f t="shared" si="12"/>
        <v>41091</v>
      </c>
      <c r="BR11" s="52">
        <f t="shared" si="13"/>
        <v>41456</v>
      </c>
      <c r="BS11" s="53">
        <f>ROUND((1+VLOOKUP(BQ11,'Расчет инфляции'!$E$5:$F$370,2,0))*(1+'Расчет инфляции'!$B$18/12*5)-1,4)</f>
        <v>0.0725</v>
      </c>
      <c r="BT11" s="53">
        <f>ROUND((1+VLOOKUP(BR11,'Расчет инфляции'!$I$5:$J$370,2,0))*(1+'Расчет инфляции'!$B$19)*(1+'Расчет инфляции'!$B$18/12*5)-1,4)</f>
        <v>0.1484</v>
      </c>
      <c r="BU11" s="50">
        <f t="shared" si="57"/>
        <v>0</v>
      </c>
      <c r="BV11" s="50">
        <f t="shared" si="58"/>
        <v>0</v>
      </c>
      <c r="BW11" s="192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V11" s="49"/>
      <c r="CW11" s="49"/>
      <c r="CX11" s="49"/>
      <c r="CY11" s="49">
        <f t="shared" si="59"/>
        <v>0</v>
      </c>
      <c r="CZ11" s="16" t="e">
        <f t="shared" si="60"/>
        <v>#DIV/0!</v>
      </c>
      <c r="DA11" s="56" t="e">
        <f t="shared" si="14"/>
        <v>#DIV/0!</v>
      </c>
      <c r="DB11" s="57">
        <v>1</v>
      </c>
      <c r="DC11" s="54">
        <f t="shared" si="15"/>
        <v>100000</v>
      </c>
      <c r="DD11" s="54">
        <v>100000</v>
      </c>
      <c r="DE11" s="54">
        <f t="shared" si="16"/>
        <v>0</v>
      </c>
      <c r="DF11" s="54" t="b">
        <f t="shared" si="17"/>
        <v>1</v>
      </c>
    </row>
    <row r="12" spans="1:110" s="47" customFormat="1" ht="12.75">
      <c r="A12" s="6">
        <f t="shared" si="19"/>
        <v>9</v>
      </c>
      <c r="B12" s="7"/>
      <c r="C12" s="8"/>
      <c r="D12" s="9"/>
      <c r="E12" s="10">
        <v>0.01</v>
      </c>
      <c r="F12" s="11"/>
      <c r="G12" s="12"/>
      <c r="H12" s="27"/>
      <c r="I12" s="28"/>
      <c r="J12" s="21"/>
      <c r="K12" s="29"/>
      <c r="L12" s="29"/>
      <c r="M12" s="29"/>
      <c r="N12" s="29"/>
      <c r="O12" s="29"/>
      <c r="P12" s="32">
        <f t="shared" si="20"/>
        <v>0</v>
      </c>
      <c r="Q12" s="30">
        <f t="shared" si="18"/>
        <v>0</v>
      </c>
      <c r="R12" s="29"/>
      <c r="S12" s="30"/>
      <c r="T12" s="30"/>
      <c r="U12" s="32">
        <f t="shared" si="21"/>
        <v>0</v>
      </c>
      <c r="V12" s="33">
        <f t="shared" si="22"/>
        <v>0</v>
      </c>
      <c r="W12" s="33">
        <f t="shared" si="23"/>
        <v>0</v>
      </c>
      <c r="X12" s="85"/>
      <c r="Y12" s="33"/>
      <c r="Z12" s="33"/>
      <c r="AA12" s="33"/>
      <c r="AB12" s="33">
        <f t="shared" si="24"/>
        <v>0</v>
      </c>
      <c r="AC12" s="33">
        <f t="shared" si="25"/>
        <v>0</v>
      </c>
      <c r="AD12" s="33">
        <f t="shared" si="26"/>
        <v>0</v>
      </c>
      <c r="AE12" s="33">
        <f t="shared" si="27"/>
        <v>0</v>
      </c>
      <c r="AF12" s="33">
        <f t="shared" si="28"/>
        <v>0</v>
      </c>
      <c r="AG12" s="33">
        <f t="shared" si="29"/>
        <v>0</v>
      </c>
      <c r="AH12" s="33">
        <f t="shared" si="30"/>
        <v>0</v>
      </c>
      <c r="AI12" s="33">
        <f t="shared" si="31"/>
        <v>0</v>
      </c>
      <c r="AJ12" s="33">
        <f t="shared" si="32"/>
        <v>0</v>
      </c>
      <c r="AK12" s="33">
        <f t="shared" si="33"/>
        <v>0</v>
      </c>
      <c r="AL12" s="33">
        <f t="shared" si="34"/>
        <v>0</v>
      </c>
      <c r="AM12" s="33">
        <f t="shared" si="4"/>
        <v>0</v>
      </c>
      <c r="AN12" s="33">
        <f t="shared" si="5"/>
        <v>0</v>
      </c>
      <c r="AO12" s="33">
        <f t="shared" si="6"/>
        <v>0</v>
      </c>
      <c r="AP12" s="33">
        <f t="shared" si="7"/>
        <v>0</v>
      </c>
      <c r="AQ12" s="33">
        <f t="shared" si="35"/>
        <v>0</v>
      </c>
      <c r="AR12" s="33">
        <f t="shared" si="36"/>
        <v>0</v>
      </c>
      <c r="AS12" s="33">
        <f t="shared" si="37"/>
        <v>0</v>
      </c>
      <c r="AT12" s="33">
        <f t="shared" si="38"/>
        <v>0</v>
      </c>
      <c r="AU12" s="33">
        <f t="shared" si="39"/>
        <v>0</v>
      </c>
      <c r="AV12" s="33">
        <f t="shared" si="40"/>
        <v>0</v>
      </c>
      <c r="AW12" s="33">
        <f t="shared" si="41"/>
        <v>0</v>
      </c>
      <c r="AX12" s="33">
        <f t="shared" si="42"/>
        <v>0</v>
      </c>
      <c r="AY12" s="33">
        <f t="shared" si="43"/>
        <v>0</v>
      </c>
      <c r="AZ12" s="33">
        <f t="shared" si="44"/>
        <v>0</v>
      </c>
      <c r="BA12" s="33">
        <f t="shared" si="45"/>
        <v>0</v>
      </c>
      <c r="BB12" s="33">
        <f t="shared" si="46"/>
        <v>0</v>
      </c>
      <c r="BC12" s="33">
        <f t="shared" si="47"/>
        <v>0</v>
      </c>
      <c r="BD12" s="33">
        <f t="shared" si="48"/>
        <v>0</v>
      </c>
      <c r="BE12" s="33">
        <f t="shared" si="49"/>
        <v>0</v>
      </c>
      <c r="BF12" s="33">
        <f t="shared" si="50"/>
        <v>0</v>
      </c>
      <c r="BG12" s="33">
        <f t="shared" si="51"/>
        <v>0</v>
      </c>
      <c r="BH12" s="33">
        <f t="shared" si="52"/>
        <v>0</v>
      </c>
      <c r="BI12" s="33">
        <f t="shared" si="53"/>
        <v>0</v>
      </c>
      <c r="BJ12" s="33">
        <f t="shared" si="54"/>
        <v>0</v>
      </c>
      <c r="BK12" s="33">
        <f t="shared" si="55"/>
        <v>0</v>
      </c>
      <c r="BL12" s="50">
        <f t="shared" si="56"/>
        <v>0</v>
      </c>
      <c r="BM12" s="86" t="s">
        <v>37</v>
      </c>
      <c r="BN12" s="86" t="s">
        <v>44</v>
      </c>
      <c r="BO12" s="51" t="s">
        <v>37</v>
      </c>
      <c r="BP12" s="51" t="s">
        <v>44</v>
      </c>
      <c r="BQ12" s="52">
        <f t="shared" si="12"/>
        <v>41091</v>
      </c>
      <c r="BR12" s="52">
        <f t="shared" si="13"/>
        <v>41456</v>
      </c>
      <c r="BS12" s="53">
        <f>ROUND((1+VLOOKUP(BQ12,'Расчет инфляции'!$E$5:$F$370,2,0))*(1+'Расчет инфляции'!$B$18/12*5)-1,4)</f>
        <v>0.0725</v>
      </c>
      <c r="BT12" s="53">
        <f>ROUND((1+VLOOKUP(BR12,'Расчет инфляции'!$I$5:$J$370,2,0))*(1+'Расчет инфляции'!$B$19)*(1+'Расчет инфляции'!$B$18/12*5)-1,4)</f>
        <v>0.1484</v>
      </c>
      <c r="BU12" s="50">
        <f t="shared" si="57"/>
        <v>0</v>
      </c>
      <c r="BV12" s="50">
        <f t="shared" si="58"/>
        <v>0</v>
      </c>
      <c r="BW12" s="192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V12" s="49"/>
      <c r="CW12" s="49"/>
      <c r="CX12" s="49"/>
      <c r="CY12" s="49">
        <f t="shared" si="59"/>
        <v>0</v>
      </c>
      <c r="CZ12" s="16" t="e">
        <f t="shared" si="60"/>
        <v>#DIV/0!</v>
      </c>
      <c r="DA12" s="56" t="e">
        <f t="shared" si="14"/>
        <v>#DIV/0!</v>
      </c>
      <c r="DB12" s="57">
        <v>1</v>
      </c>
      <c r="DC12" s="54">
        <f t="shared" si="15"/>
        <v>100000</v>
      </c>
      <c r="DD12" s="54">
        <v>100000</v>
      </c>
      <c r="DE12" s="54">
        <f t="shared" si="16"/>
        <v>0</v>
      </c>
      <c r="DF12" s="54" t="b">
        <f t="shared" si="17"/>
        <v>1</v>
      </c>
    </row>
    <row r="13" spans="1:110" s="47" customFormat="1" ht="12.75">
      <c r="A13" s="6">
        <f t="shared" si="19"/>
        <v>10</v>
      </c>
      <c r="B13" s="7"/>
      <c r="C13" s="8"/>
      <c r="D13" s="9"/>
      <c r="E13" s="10">
        <v>0.01</v>
      </c>
      <c r="F13" s="11"/>
      <c r="G13" s="12"/>
      <c r="H13" s="27"/>
      <c r="I13" s="28"/>
      <c r="J13" s="21"/>
      <c r="K13" s="29"/>
      <c r="L13" s="29"/>
      <c r="M13" s="29"/>
      <c r="N13" s="29"/>
      <c r="O13" s="29"/>
      <c r="P13" s="32">
        <f t="shared" si="20"/>
        <v>0</v>
      </c>
      <c r="Q13" s="30">
        <f t="shared" si="18"/>
        <v>0</v>
      </c>
      <c r="R13" s="29"/>
      <c r="S13" s="30"/>
      <c r="T13" s="30"/>
      <c r="U13" s="32">
        <f t="shared" si="21"/>
        <v>0</v>
      </c>
      <c r="V13" s="33">
        <f t="shared" si="22"/>
        <v>0</v>
      </c>
      <c r="W13" s="33">
        <f t="shared" si="23"/>
        <v>0</v>
      </c>
      <c r="X13" s="85"/>
      <c r="Y13" s="33"/>
      <c r="Z13" s="33"/>
      <c r="AA13" s="33"/>
      <c r="AB13" s="33">
        <f t="shared" si="24"/>
        <v>0</v>
      </c>
      <c r="AC13" s="33">
        <f t="shared" si="25"/>
        <v>0</v>
      </c>
      <c r="AD13" s="33">
        <f t="shared" si="26"/>
        <v>0</v>
      </c>
      <c r="AE13" s="33">
        <f t="shared" si="27"/>
        <v>0</v>
      </c>
      <c r="AF13" s="33">
        <f t="shared" si="28"/>
        <v>0</v>
      </c>
      <c r="AG13" s="33">
        <f t="shared" si="29"/>
        <v>0</v>
      </c>
      <c r="AH13" s="33">
        <f t="shared" si="30"/>
        <v>0</v>
      </c>
      <c r="AI13" s="33">
        <f t="shared" si="31"/>
        <v>0</v>
      </c>
      <c r="AJ13" s="33">
        <f t="shared" si="32"/>
        <v>0</v>
      </c>
      <c r="AK13" s="33">
        <f t="shared" si="33"/>
        <v>0</v>
      </c>
      <c r="AL13" s="33">
        <f t="shared" si="34"/>
        <v>0</v>
      </c>
      <c r="AM13" s="33">
        <f t="shared" si="4"/>
        <v>0</v>
      </c>
      <c r="AN13" s="33">
        <f t="shared" si="5"/>
        <v>0</v>
      </c>
      <c r="AO13" s="33">
        <f t="shared" si="6"/>
        <v>0</v>
      </c>
      <c r="AP13" s="33">
        <f t="shared" si="7"/>
        <v>0</v>
      </c>
      <c r="AQ13" s="33">
        <f t="shared" si="35"/>
        <v>0</v>
      </c>
      <c r="AR13" s="33">
        <f t="shared" si="36"/>
        <v>0</v>
      </c>
      <c r="AS13" s="33">
        <f t="shared" si="37"/>
        <v>0</v>
      </c>
      <c r="AT13" s="33">
        <f t="shared" si="38"/>
        <v>0</v>
      </c>
      <c r="AU13" s="33">
        <f t="shared" si="39"/>
        <v>0</v>
      </c>
      <c r="AV13" s="33">
        <f t="shared" si="40"/>
        <v>0</v>
      </c>
      <c r="AW13" s="33">
        <f t="shared" si="41"/>
        <v>0</v>
      </c>
      <c r="AX13" s="33">
        <f t="shared" si="42"/>
        <v>0</v>
      </c>
      <c r="AY13" s="33">
        <f t="shared" si="43"/>
        <v>0</v>
      </c>
      <c r="AZ13" s="33">
        <f t="shared" si="44"/>
        <v>0</v>
      </c>
      <c r="BA13" s="33">
        <f t="shared" si="45"/>
        <v>0</v>
      </c>
      <c r="BB13" s="33">
        <f t="shared" si="46"/>
        <v>0</v>
      </c>
      <c r="BC13" s="33">
        <f t="shared" si="47"/>
        <v>0</v>
      </c>
      <c r="BD13" s="33">
        <f t="shared" si="48"/>
        <v>0</v>
      </c>
      <c r="BE13" s="33">
        <f t="shared" si="49"/>
        <v>0</v>
      </c>
      <c r="BF13" s="33">
        <f t="shared" si="50"/>
        <v>0</v>
      </c>
      <c r="BG13" s="33">
        <f t="shared" si="51"/>
        <v>0</v>
      </c>
      <c r="BH13" s="33">
        <f t="shared" si="52"/>
        <v>0</v>
      </c>
      <c r="BI13" s="33">
        <f t="shared" si="53"/>
        <v>0</v>
      </c>
      <c r="BJ13" s="33">
        <f t="shared" si="54"/>
        <v>0</v>
      </c>
      <c r="BK13" s="33">
        <f t="shared" si="55"/>
        <v>0</v>
      </c>
      <c r="BL13" s="50">
        <f t="shared" si="56"/>
        <v>0</v>
      </c>
      <c r="BM13" s="86" t="s">
        <v>37</v>
      </c>
      <c r="BN13" s="86" t="s">
        <v>44</v>
      </c>
      <c r="BO13" s="51" t="s">
        <v>37</v>
      </c>
      <c r="BP13" s="51" t="s">
        <v>44</v>
      </c>
      <c r="BQ13" s="52">
        <f t="shared" si="12"/>
        <v>41091</v>
      </c>
      <c r="BR13" s="52">
        <f t="shared" si="13"/>
        <v>41456</v>
      </c>
      <c r="BS13" s="53">
        <f>ROUND((1+VLOOKUP(BQ13,'Расчет инфляции'!$E$5:$F$370,2,0))*(1+'Расчет инфляции'!$B$18/12*5)-1,4)</f>
        <v>0.0725</v>
      </c>
      <c r="BT13" s="53">
        <f>ROUND((1+VLOOKUP(BR13,'Расчет инфляции'!$I$5:$J$370,2,0))*(1+'Расчет инфляции'!$B$19)*(1+'Расчет инфляции'!$B$18/12*5)-1,4)</f>
        <v>0.1484</v>
      </c>
      <c r="BU13" s="50">
        <f t="shared" si="57"/>
        <v>0</v>
      </c>
      <c r="BV13" s="50">
        <f t="shared" si="58"/>
        <v>0</v>
      </c>
      <c r="BW13" s="192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V13" s="49"/>
      <c r="CW13" s="49"/>
      <c r="CX13" s="49"/>
      <c r="CY13" s="49">
        <f t="shared" si="59"/>
        <v>0</v>
      </c>
      <c r="CZ13" s="16" t="e">
        <f t="shared" si="60"/>
        <v>#DIV/0!</v>
      </c>
      <c r="DA13" s="56" t="e">
        <f t="shared" si="14"/>
        <v>#DIV/0!</v>
      </c>
      <c r="DB13" s="57">
        <v>1</v>
      </c>
      <c r="DC13" s="54">
        <f aca="true" t="shared" si="61" ref="DC13:DC33">DB13*DD13</f>
        <v>100000</v>
      </c>
      <c r="DD13" s="54">
        <v>100000</v>
      </c>
      <c r="DE13" s="54">
        <f t="shared" si="16"/>
        <v>0</v>
      </c>
      <c r="DF13" s="54" t="b">
        <f t="shared" si="17"/>
        <v>1</v>
      </c>
    </row>
    <row r="14" spans="1:110" s="47" customFormat="1" ht="12.75">
      <c r="A14" s="6">
        <f t="shared" si="19"/>
        <v>11</v>
      </c>
      <c r="B14" s="7"/>
      <c r="C14" s="8"/>
      <c r="D14" s="9"/>
      <c r="E14" s="10">
        <v>0.01</v>
      </c>
      <c r="F14" s="11"/>
      <c r="G14" s="12"/>
      <c r="H14" s="27"/>
      <c r="I14" s="28"/>
      <c r="J14" s="21"/>
      <c r="K14" s="29"/>
      <c r="L14" s="29"/>
      <c r="M14" s="29"/>
      <c r="N14" s="29"/>
      <c r="O14" s="29"/>
      <c r="P14" s="32">
        <f t="shared" si="20"/>
        <v>0</v>
      </c>
      <c r="Q14" s="30">
        <f t="shared" si="18"/>
        <v>0</v>
      </c>
      <c r="R14" s="29"/>
      <c r="S14" s="30"/>
      <c r="T14" s="30"/>
      <c r="U14" s="32">
        <f t="shared" si="21"/>
        <v>0</v>
      </c>
      <c r="V14" s="33">
        <f t="shared" si="22"/>
        <v>0</v>
      </c>
      <c r="W14" s="33">
        <f t="shared" si="23"/>
        <v>0</v>
      </c>
      <c r="X14" s="85"/>
      <c r="Y14" s="33"/>
      <c r="Z14" s="33"/>
      <c r="AA14" s="33"/>
      <c r="AB14" s="33">
        <f t="shared" si="24"/>
        <v>0</v>
      </c>
      <c r="AC14" s="33">
        <f t="shared" si="25"/>
        <v>0</v>
      </c>
      <c r="AD14" s="33">
        <f t="shared" si="26"/>
        <v>0</v>
      </c>
      <c r="AE14" s="33">
        <f t="shared" si="27"/>
        <v>0</v>
      </c>
      <c r="AF14" s="33">
        <f t="shared" si="28"/>
        <v>0</v>
      </c>
      <c r="AG14" s="33">
        <f t="shared" si="29"/>
        <v>0</v>
      </c>
      <c r="AH14" s="33">
        <f t="shared" si="30"/>
        <v>0</v>
      </c>
      <c r="AI14" s="33">
        <f t="shared" si="31"/>
        <v>0</v>
      </c>
      <c r="AJ14" s="33">
        <f t="shared" si="32"/>
        <v>0</v>
      </c>
      <c r="AK14" s="33">
        <f t="shared" si="33"/>
        <v>0</v>
      </c>
      <c r="AL14" s="33">
        <f t="shared" si="34"/>
        <v>0</v>
      </c>
      <c r="AM14" s="33">
        <f t="shared" si="4"/>
        <v>0</v>
      </c>
      <c r="AN14" s="33">
        <f t="shared" si="5"/>
        <v>0</v>
      </c>
      <c r="AO14" s="33">
        <f t="shared" si="6"/>
        <v>0</v>
      </c>
      <c r="AP14" s="33">
        <f t="shared" si="7"/>
        <v>0</v>
      </c>
      <c r="AQ14" s="33">
        <f t="shared" si="35"/>
        <v>0</v>
      </c>
      <c r="AR14" s="33">
        <f t="shared" si="36"/>
        <v>0</v>
      </c>
      <c r="AS14" s="33">
        <f t="shared" si="37"/>
        <v>0</v>
      </c>
      <c r="AT14" s="33">
        <f t="shared" si="38"/>
        <v>0</v>
      </c>
      <c r="AU14" s="33">
        <f t="shared" si="39"/>
        <v>0</v>
      </c>
      <c r="AV14" s="33">
        <f t="shared" si="40"/>
        <v>0</v>
      </c>
      <c r="AW14" s="33">
        <f t="shared" si="41"/>
        <v>0</v>
      </c>
      <c r="AX14" s="33">
        <f t="shared" si="42"/>
        <v>0</v>
      </c>
      <c r="AY14" s="33">
        <f t="shared" si="43"/>
        <v>0</v>
      </c>
      <c r="AZ14" s="33">
        <f t="shared" si="44"/>
        <v>0</v>
      </c>
      <c r="BA14" s="33">
        <f t="shared" si="45"/>
        <v>0</v>
      </c>
      <c r="BB14" s="33">
        <f t="shared" si="46"/>
        <v>0</v>
      </c>
      <c r="BC14" s="33">
        <f t="shared" si="47"/>
        <v>0</v>
      </c>
      <c r="BD14" s="33">
        <f t="shared" si="48"/>
        <v>0</v>
      </c>
      <c r="BE14" s="33">
        <f t="shared" si="49"/>
        <v>0</v>
      </c>
      <c r="BF14" s="33">
        <f t="shared" si="50"/>
        <v>0</v>
      </c>
      <c r="BG14" s="33">
        <f t="shared" si="51"/>
        <v>0</v>
      </c>
      <c r="BH14" s="33">
        <f t="shared" si="52"/>
        <v>0</v>
      </c>
      <c r="BI14" s="33">
        <f t="shared" si="53"/>
        <v>0</v>
      </c>
      <c r="BJ14" s="33">
        <f t="shared" si="54"/>
        <v>0</v>
      </c>
      <c r="BK14" s="33">
        <f t="shared" si="55"/>
        <v>0</v>
      </c>
      <c r="BL14" s="50">
        <f t="shared" si="56"/>
        <v>0</v>
      </c>
      <c r="BM14" s="86" t="s">
        <v>37</v>
      </c>
      <c r="BN14" s="86" t="s">
        <v>44</v>
      </c>
      <c r="BO14" s="51" t="s">
        <v>37</v>
      </c>
      <c r="BP14" s="51" t="s">
        <v>44</v>
      </c>
      <c r="BQ14" s="52">
        <f t="shared" si="12"/>
        <v>41091</v>
      </c>
      <c r="BR14" s="52">
        <f t="shared" si="13"/>
        <v>41456</v>
      </c>
      <c r="BS14" s="53">
        <f>ROUND((1+VLOOKUP(BQ14,'Расчет инфляции'!$E$5:$F$370,2,0))*(1+'Расчет инфляции'!$B$18/12*5)-1,4)</f>
        <v>0.0725</v>
      </c>
      <c r="BT14" s="53">
        <f>ROUND((1+VLOOKUP(BR14,'Расчет инфляции'!$I$5:$J$370,2,0))*(1+'Расчет инфляции'!$B$19)*(1+'Расчет инфляции'!$B$18/12*5)-1,4)</f>
        <v>0.1484</v>
      </c>
      <c r="BU14" s="50">
        <f t="shared" si="57"/>
        <v>0</v>
      </c>
      <c r="BV14" s="50">
        <f t="shared" si="58"/>
        <v>0</v>
      </c>
      <c r="BW14" s="192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V14" s="49"/>
      <c r="CW14" s="49"/>
      <c r="CX14" s="49"/>
      <c r="CY14" s="49">
        <f t="shared" si="59"/>
        <v>0</v>
      </c>
      <c r="CZ14" s="16" t="e">
        <f t="shared" si="60"/>
        <v>#DIV/0!</v>
      </c>
      <c r="DA14" s="56" t="e">
        <f t="shared" si="14"/>
        <v>#DIV/0!</v>
      </c>
      <c r="DB14" s="57">
        <v>1</v>
      </c>
      <c r="DC14" s="54">
        <f t="shared" si="61"/>
        <v>100000</v>
      </c>
      <c r="DD14" s="54">
        <v>100000</v>
      </c>
      <c r="DE14" s="54">
        <f t="shared" si="16"/>
        <v>0</v>
      </c>
      <c r="DF14" s="54" t="b">
        <f t="shared" si="17"/>
        <v>1</v>
      </c>
    </row>
    <row r="15" spans="1:110" s="47" customFormat="1" ht="12.75">
      <c r="A15" s="6">
        <f t="shared" si="19"/>
        <v>12</v>
      </c>
      <c r="B15" s="7"/>
      <c r="C15" s="8"/>
      <c r="D15" s="9"/>
      <c r="E15" s="10">
        <v>0.01</v>
      </c>
      <c r="F15" s="11"/>
      <c r="G15" s="12"/>
      <c r="H15" s="27"/>
      <c r="I15" s="28"/>
      <c r="J15" s="21"/>
      <c r="K15" s="29"/>
      <c r="L15" s="29"/>
      <c r="M15" s="29"/>
      <c r="N15" s="29"/>
      <c r="O15" s="29"/>
      <c r="P15" s="32">
        <f t="shared" si="20"/>
        <v>0</v>
      </c>
      <c r="Q15" s="30">
        <f t="shared" si="18"/>
        <v>0</v>
      </c>
      <c r="R15" s="29"/>
      <c r="S15" s="30"/>
      <c r="T15" s="30"/>
      <c r="U15" s="32">
        <f t="shared" si="21"/>
        <v>0</v>
      </c>
      <c r="V15" s="33">
        <f t="shared" si="22"/>
        <v>0</v>
      </c>
      <c r="W15" s="33">
        <f t="shared" si="23"/>
        <v>0</v>
      </c>
      <c r="X15" s="85"/>
      <c r="Y15" s="33"/>
      <c r="Z15" s="33"/>
      <c r="AA15" s="33"/>
      <c r="AB15" s="33">
        <f t="shared" si="24"/>
        <v>0</v>
      </c>
      <c r="AC15" s="33">
        <f t="shared" si="25"/>
        <v>0</v>
      </c>
      <c r="AD15" s="33">
        <f t="shared" si="26"/>
        <v>0</v>
      </c>
      <c r="AE15" s="33">
        <f t="shared" si="27"/>
        <v>0</v>
      </c>
      <c r="AF15" s="33">
        <f t="shared" si="28"/>
        <v>0</v>
      </c>
      <c r="AG15" s="33">
        <f t="shared" si="29"/>
        <v>0</v>
      </c>
      <c r="AH15" s="33">
        <f t="shared" si="30"/>
        <v>0</v>
      </c>
      <c r="AI15" s="33">
        <f t="shared" si="31"/>
        <v>0</v>
      </c>
      <c r="AJ15" s="33">
        <f t="shared" si="32"/>
        <v>0</v>
      </c>
      <c r="AK15" s="33">
        <f t="shared" si="33"/>
        <v>0</v>
      </c>
      <c r="AL15" s="33">
        <f t="shared" si="34"/>
        <v>0</v>
      </c>
      <c r="AM15" s="33">
        <f t="shared" si="4"/>
        <v>0</v>
      </c>
      <c r="AN15" s="33">
        <f t="shared" si="5"/>
        <v>0</v>
      </c>
      <c r="AO15" s="33">
        <f t="shared" si="6"/>
        <v>0</v>
      </c>
      <c r="AP15" s="33">
        <f t="shared" si="7"/>
        <v>0</v>
      </c>
      <c r="AQ15" s="33">
        <f t="shared" si="35"/>
        <v>0</v>
      </c>
      <c r="AR15" s="33">
        <f t="shared" si="36"/>
        <v>0</v>
      </c>
      <c r="AS15" s="33">
        <f t="shared" si="37"/>
        <v>0</v>
      </c>
      <c r="AT15" s="33">
        <f t="shared" si="38"/>
        <v>0</v>
      </c>
      <c r="AU15" s="33">
        <f t="shared" si="39"/>
        <v>0</v>
      </c>
      <c r="AV15" s="33">
        <f t="shared" si="40"/>
        <v>0</v>
      </c>
      <c r="AW15" s="33">
        <f t="shared" si="41"/>
        <v>0</v>
      </c>
      <c r="AX15" s="33">
        <f t="shared" si="42"/>
        <v>0</v>
      </c>
      <c r="AY15" s="33">
        <f t="shared" si="43"/>
        <v>0</v>
      </c>
      <c r="AZ15" s="33">
        <f t="shared" si="44"/>
        <v>0</v>
      </c>
      <c r="BA15" s="33">
        <f t="shared" si="45"/>
        <v>0</v>
      </c>
      <c r="BB15" s="33">
        <f t="shared" si="46"/>
        <v>0</v>
      </c>
      <c r="BC15" s="33">
        <f t="shared" si="47"/>
        <v>0</v>
      </c>
      <c r="BD15" s="33">
        <f t="shared" si="48"/>
        <v>0</v>
      </c>
      <c r="BE15" s="33">
        <f t="shared" si="49"/>
        <v>0</v>
      </c>
      <c r="BF15" s="33">
        <f t="shared" si="50"/>
        <v>0</v>
      </c>
      <c r="BG15" s="33">
        <f t="shared" si="51"/>
        <v>0</v>
      </c>
      <c r="BH15" s="33">
        <f t="shared" si="52"/>
        <v>0</v>
      </c>
      <c r="BI15" s="33">
        <f t="shared" si="53"/>
        <v>0</v>
      </c>
      <c r="BJ15" s="33">
        <f t="shared" si="54"/>
        <v>0</v>
      </c>
      <c r="BK15" s="33">
        <f t="shared" si="55"/>
        <v>0</v>
      </c>
      <c r="BL15" s="50">
        <f t="shared" si="56"/>
        <v>0</v>
      </c>
      <c r="BM15" s="86" t="s">
        <v>37</v>
      </c>
      <c r="BN15" s="86" t="s">
        <v>44</v>
      </c>
      <c r="BO15" s="51" t="s">
        <v>37</v>
      </c>
      <c r="BP15" s="51" t="s">
        <v>44</v>
      </c>
      <c r="BQ15" s="52">
        <f t="shared" si="12"/>
        <v>41091</v>
      </c>
      <c r="BR15" s="52">
        <f t="shared" si="13"/>
        <v>41456</v>
      </c>
      <c r="BS15" s="53">
        <f>ROUND((1+VLOOKUP(BQ15,'Расчет инфляции'!$E$5:$F$370,2,0))*(1+'Расчет инфляции'!$B$18/12*5)-1,4)</f>
        <v>0.0725</v>
      </c>
      <c r="BT15" s="53">
        <f>ROUND((1+VLOOKUP(BR15,'Расчет инфляции'!$I$5:$J$370,2,0))*(1+'Расчет инфляции'!$B$19)*(1+'Расчет инфляции'!$B$18/12*5)-1,4)</f>
        <v>0.1484</v>
      </c>
      <c r="BU15" s="50">
        <f t="shared" si="57"/>
        <v>0</v>
      </c>
      <c r="BV15" s="50">
        <f t="shared" si="58"/>
        <v>0</v>
      </c>
      <c r="BW15" s="192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V15" s="49"/>
      <c r="CW15" s="49"/>
      <c r="CX15" s="49"/>
      <c r="CY15" s="49">
        <f t="shared" si="59"/>
        <v>0</v>
      </c>
      <c r="CZ15" s="16" t="e">
        <f t="shared" si="60"/>
        <v>#DIV/0!</v>
      </c>
      <c r="DA15" s="56" t="e">
        <f t="shared" si="14"/>
        <v>#DIV/0!</v>
      </c>
      <c r="DB15" s="57">
        <v>1</v>
      </c>
      <c r="DC15" s="54">
        <f t="shared" si="61"/>
        <v>100000</v>
      </c>
      <c r="DD15" s="54">
        <v>100000</v>
      </c>
      <c r="DE15" s="54">
        <f t="shared" si="16"/>
        <v>0</v>
      </c>
      <c r="DF15" s="54" t="b">
        <f t="shared" si="17"/>
        <v>1</v>
      </c>
    </row>
    <row r="16" spans="1:110" s="47" customFormat="1" ht="12.75">
      <c r="A16" s="6">
        <f t="shared" si="19"/>
        <v>13</v>
      </c>
      <c r="B16" s="7"/>
      <c r="C16" s="8"/>
      <c r="D16" s="9"/>
      <c r="E16" s="10">
        <v>0.01</v>
      </c>
      <c r="F16" s="11"/>
      <c r="G16" s="12"/>
      <c r="H16" s="27"/>
      <c r="I16" s="28"/>
      <c r="J16" s="21"/>
      <c r="K16" s="29"/>
      <c r="L16" s="29"/>
      <c r="M16" s="29"/>
      <c r="N16" s="29"/>
      <c r="O16" s="29"/>
      <c r="P16" s="32">
        <f t="shared" si="20"/>
        <v>0</v>
      </c>
      <c r="Q16" s="30">
        <f t="shared" si="18"/>
        <v>0</v>
      </c>
      <c r="R16" s="29"/>
      <c r="S16" s="30"/>
      <c r="T16" s="30"/>
      <c r="U16" s="32">
        <f t="shared" si="21"/>
        <v>0</v>
      </c>
      <c r="V16" s="33">
        <f t="shared" si="22"/>
        <v>0</v>
      </c>
      <c r="W16" s="33">
        <f t="shared" si="23"/>
        <v>0</v>
      </c>
      <c r="X16" s="85">
        <f aca="true" t="shared" si="62" ref="X16:X33">ROUND($E16*SUM(Q16:R16,V16:W16),0)</f>
        <v>0</v>
      </c>
      <c r="Y16" s="33"/>
      <c r="Z16" s="33"/>
      <c r="AA16" s="33"/>
      <c r="AB16" s="33">
        <f t="shared" si="24"/>
        <v>0</v>
      </c>
      <c r="AC16" s="33">
        <f t="shared" si="25"/>
        <v>0</v>
      </c>
      <c r="AD16" s="33">
        <f t="shared" si="26"/>
        <v>0</v>
      </c>
      <c r="AE16" s="33">
        <f t="shared" si="27"/>
        <v>0</v>
      </c>
      <c r="AF16" s="33">
        <f t="shared" si="28"/>
        <v>0</v>
      </c>
      <c r="AG16" s="33">
        <f t="shared" si="29"/>
        <v>0</v>
      </c>
      <c r="AH16" s="33">
        <f t="shared" si="30"/>
        <v>0</v>
      </c>
      <c r="AI16" s="33">
        <f t="shared" si="31"/>
        <v>0</v>
      </c>
      <c r="AJ16" s="33">
        <f t="shared" si="32"/>
        <v>0</v>
      </c>
      <c r="AK16" s="33">
        <f t="shared" si="33"/>
        <v>0</v>
      </c>
      <c r="AL16" s="33">
        <f t="shared" si="34"/>
        <v>0</v>
      </c>
      <c r="AM16" s="33">
        <f t="shared" si="4"/>
        <v>0</v>
      </c>
      <c r="AN16" s="33">
        <f t="shared" si="5"/>
        <v>0</v>
      </c>
      <c r="AO16" s="33">
        <f t="shared" si="6"/>
        <v>0</v>
      </c>
      <c r="AP16" s="33">
        <f t="shared" si="7"/>
        <v>0</v>
      </c>
      <c r="AQ16" s="33">
        <f t="shared" si="35"/>
        <v>0</v>
      </c>
      <c r="AR16" s="33">
        <f t="shared" si="36"/>
        <v>0</v>
      </c>
      <c r="AS16" s="33">
        <f t="shared" si="37"/>
        <v>0</v>
      </c>
      <c r="AT16" s="33">
        <f t="shared" si="38"/>
        <v>0</v>
      </c>
      <c r="AU16" s="33">
        <f t="shared" si="39"/>
        <v>0</v>
      </c>
      <c r="AV16" s="33">
        <f t="shared" si="40"/>
        <v>0</v>
      </c>
      <c r="AW16" s="33">
        <f t="shared" si="41"/>
        <v>0</v>
      </c>
      <c r="AX16" s="33">
        <f t="shared" si="42"/>
        <v>0</v>
      </c>
      <c r="AY16" s="33">
        <f t="shared" si="43"/>
        <v>0</v>
      </c>
      <c r="AZ16" s="33">
        <f t="shared" si="44"/>
        <v>0</v>
      </c>
      <c r="BA16" s="33">
        <f t="shared" si="45"/>
        <v>0</v>
      </c>
      <c r="BB16" s="33">
        <f t="shared" si="46"/>
        <v>0</v>
      </c>
      <c r="BC16" s="33">
        <f t="shared" si="47"/>
        <v>0</v>
      </c>
      <c r="BD16" s="33">
        <f t="shared" si="48"/>
        <v>0</v>
      </c>
      <c r="BE16" s="33">
        <f t="shared" si="49"/>
        <v>0</v>
      </c>
      <c r="BF16" s="33">
        <f t="shared" si="50"/>
        <v>0</v>
      </c>
      <c r="BG16" s="33">
        <f t="shared" si="51"/>
        <v>0</v>
      </c>
      <c r="BH16" s="33">
        <f t="shared" si="52"/>
        <v>0</v>
      </c>
      <c r="BI16" s="33">
        <f t="shared" si="53"/>
        <v>0</v>
      </c>
      <c r="BJ16" s="33">
        <f t="shared" si="54"/>
        <v>0</v>
      </c>
      <c r="BK16" s="33">
        <f t="shared" si="55"/>
        <v>0</v>
      </c>
      <c r="BL16" s="50">
        <f t="shared" si="56"/>
        <v>0</v>
      </c>
      <c r="BM16" s="86" t="s">
        <v>37</v>
      </c>
      <c r="BN16" s="86" t="s">
        <v>44</v>
      </c>
      <c r="BO16" s="51" t="s">
        <v>37</v>
      </c>
      <c r="BP16" s="51" t="s">
        <v>44</v>
      </c>
      <c r="BQ16" s="52">
        <f t="shared" si="12"/>
        <v>41091</v>
      </c>
      <c r="BR16" s="52">
        <f t="shared" si="13"/>
        <v>41456</v>
      </c>
      <c r="BS16" s="53">
        <f>ROUND((1+VLOOKUP(BQ16,'Расчет инфляции'!$E$5:$F$370,2,0))*(1+'Расчет инфляции'!$B$18/12*5)-1,4)</f>
        <v>0.0725</v>
      </c>
      <c r="BT16" s="53">
        <f>ROUND((1+VLOOKUP(BR16,'Расчет инфляции'!$I$5:$J$370,2,0))*(1+'Расчет инфляции'!$B$19)*(1+'Расчет инфляции'!$B$18/12*5)-1,4)</f>
        <v>0.1484</v>
      </c>
      <c r="BU16" s="50">
        <f t="shared" si="57"/>
        <v>0</v>
      </c>
      <c r="BV16" s="50">
        <f t="shared" si="58"/>
        <v>0</v>
      </c>
      <c r="BW16" s="192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V16" s="49"/>
      <c r="CW16" s="49"/>
      <c r="CX16" s="49"/>
      <c r="CY16" s="49">
        <f t="shared" si="59"/>
        <v>0</v>
      </c>
      <c r="CZ16" s="16" t="e">
        <f t="shared" si="60"/>
        <v>#DIV/0!</v>
      </c>
      <c r="DA16" s="56" t="e">
        <f t="shared" si="14"/>
        <v>#DIV/0!</v>
      </c>
      <c r="DB16" s="57">
        <v>1</v>
      </c>
      <c r="DC16" s="54">
        <f t="shared" si="61"/>
        <v>100000</v>
      </c>
      <c r="DD16" s="54">
        <v>100000</v>
      </c>
      <c r="DE16" s="54">
        <f t="shared" si="16"/>
        <v>0</v>
      </c>
      <c r="DF16" s="54" t="b">
        <f t="shared" si="17"/>
        <v>1</v>
      </c>
    </row>
    <row r="17" spans="1:110" s="47" customFormat="1" ht="12.75">
      <c r="A17" s="6">
        <f t="shared" si="19"/>
        <v>14</v>
      </c>
      <c r="B17" s="7"/>
      <c r="C17" s="8"/>
      <c r="D17" s="9"/>
      <c r="E17" s="10">
        <v>0.01</v>
      </c>
      <c r="F17" s="11"/>
      <c r="G17" s="12"/>
      <c r="H17" s="27"/>
      <c r="I17" s="28"/>
      <c r="J17" s="21"/>
      <c r="K17" s="29"/>
      <c r="L17" s="29"/>
      <c r="M17" s="29"/>
      <c r="N17" s="29"/>
      <c r="O17" s="29"/>
      <c r="P17" s="32">
        <f t="shared" si="20"/>
        <v>0</v>
      </c>
      <c r="Q17" s="30">
        <f t="shared" si="18"/>
        <v>0</v>
      </c>
      <c r="R17" s="29"/>
      <c r="S17" s="30"/>
      <c r="T17" s="30"/>
      <c r="U17" s="32">
        <f t="shared" si="21"/>
        <v>0</v>
      </c>
      <c r="V17" s="33">
        <f t="shared" si="22"/>
        <v>0</v>
      </c>
      <c r="W17" s="33">
        <f t="shared" si="23"/>
        <v>0</v>
      </c>
      <c r="X17" s="85">
        <f t="shared" si="62"/>
        <v>0</v>
      </c>
      <c r="Y17" s="33"/>
      <c r="Z17" s="33"/>
      <c r="AA17" s="33"/>
      <c r="AB17" s="33">
        <f t="shared" si="24"/>
        <v>0</v>
      </c>
      <c r="AC17" s="33">
        <f t="shared" si="25"/>
        <v>0</v>
      </c>
      <c r="AD17" s="33">
        <f t="shared" si="26"/>
        <v>0</v>
      </c>
      <c r="AE17" s="33">
        <f t="shared" si="27"/>
        <v>0</v>
      </c>
      <c r="AF17" s="33">
        <f t="shared" si="28"/>
        <v>0</v>
      </c>
      <c r="AG17" s="33">
        <f t="shared" si="29"/>
        <v>0</v>
      </c>
      <c r="AH17" s="33">
        <f t="shared" si="30"/>
        <v>0</v>
      </c>
      <c r="AI17" s="33">
        <f t="shared" si="31"/>
        <v>0</v>
      </c>
      <c r="AJ17" s="33">
        <f t="shared" si="32"/>
        <v>0</v>
      </c>
      <c r="AK17" s="33">
        <f t="shared" si="33"/>
        <v>0</v>
      </c>
      <c r="AL17" s="33">
        <f t="shared" si="34"/>
        <v>0</v>
      </c>
      <c r="AM17" s="33">
        <f t="shared" si="4"/>
        <v>0</v>
      </c>
      <c r="AN17" s="33">
        <f t="shared" si="5"/>
        <v>0</v>
      </c>
      <c r="AO17" s="33">
        <f t="shared" si="6"/>
        <v>0</v>
      </c>
      <c r="AP17" s="33">
        <f t="shared" si="7"/>
        <v>0</v>
      </c>
      <c r="AQ17" s="33">
        <f t="shared" si="35"/>
        <v>0</v>
      </c>
      <c r="AR17" s="33">
        <f t="shared" si="36"/>
        <v>0</v>
      </c>
      <c r="AS17" s="33">
        <f t="shared" si="37"/>
        <v>0</v>
      </c>
      <c r="AT17" s="33">
        <f t="shared" si="38"/>
        <v>0</v>
      </c>
      <c r="AU17" s="33">
        <f t="shared" si="39"/>
        <v>0</v>
      </c>
      <c r="AV17" s="33">
        <f t="shared" si="40"/>
        <v>0</v>
      </c>
      <c r="AW17" s="33">
        <f t="shared" si="41"/>
        <v>0</v>
      </c>
      <c r="AX17" s="33">
        <f t="shared" si="42"/>
        <v>0</v>
      </c>
      <c r="AY17" s="33">
        <f t="shared" si="43"/>
        <v>0</v>
      </c>
      <c r="AZ17" s="33">
        <f t="shared" si="44"/>
        <v>0</v>
      </c>
      <c r="BA17" s="33">
        <f t="shared" si="45"/>
        <v>0</v>
      </c>
      <c r="BB17" s="33">
        <f t="shared" si="46"/>
        <v>0</v>
      </c>
      <c r="BC17" s="33">
        <f t="shared" si="47"/>
        <v>0</v>
      </c>
      <c r="BD17" s="33">
        <f t="shared" si="48"/>
        <v>0</v>
      </c>
      <c r="BE17" s="33">
        <f t="shared" si="49"/>
        <v>0</v>
      </c>
      <c r="BF17" s="33">
        <f t="shared" si="50"/>
        <v>0</v>
      </c>
      <c r="BG17" s="33">
        <f t="shared" si="51"/>
        <v>0</v>
      </c>
      <c r="BH17" s="33">
        <f t="shared" si="52"/>
        <v>0</v>
      </c>
      <c r="BI17" s="33">
        <f t="shared" si="53"/>
        <v>0</v>
      </c>
      <c r="BJ17" s="33">
        <f t="shared" si="54"/>
        <v>0</v>
      </c>
      <c r="BK17" s="33">
        <f t="shared" si="55"/>
        <v>0</v>
      </c>
      <c r="BL17" s="50">
        <f t="shared" si="56"/>
        <v>0</v>
      </c>
      <c r="BM17" s="86" t="s">
        <v>37</v>
      </c>
      <c r="BN17" s="86" t="s">
        <v>44</v>
      </c>
      <c r="BO17" s="51" t="s">
        <v>37</v>
      </c>
      <c r="BP17" s="51" t="s">
        <v>44</v>
      </c>
      <c r="BQ17" s="52">
        <f t="shared" si="12"/>
        <v>41091</v>
      </c>
      <c r="BR17" s="52">
        <f t="shared" si="13"/>
        <v>41456</v>
      </c>
      <c r="BS17" s="53">
        <f>ROUND((1+VLOOKUP(BQ17,'Расчет инфляции'!$E$5:$F$370,2,0))*(1+'Расчет инфляции'!$B$18/12*5)-1,4)</f>
        <v>0.0725</v>
      </c>
      <c r="BT17" s="53">
        <f>ROUND((1+VLOOKUP(BR17,'Расчет инфляции'!$I$5:$J$370,2,0))*(1+'Расчет инфляции'!$B$19)*(1+'Расчет инфляции'!$B$18/12*5)-1,4)</f>
        <v>0.1484</v>
      </c>
      <c r="BU17" s="50">
        <f t="shared" si="57"/>
        <v>0</v>
      </c>
      <c r="BV17" s="50">
        <f t="shared" si="58"/>
        <v>0</v>
      </c>
      <c r="BW17" s="192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V17" s="49"/>
      <c r="CW17" s="49"/>
      <c r="CX17" s="49"/>
      <c r="CY17" s="49">
        <f t="shared" si="59"/>
        <v>0</v>
      </c>
      <c r="CZ17" s="16" t="e">
        <f t="shared" si="60"/>
        <v>#DIV/0!</v>
      </c>
      <c r="DA17" s="56" t="e">
        <f t="shared" si="14"/>
        <v>#DIV/0!</v>
      </c>
      <c r="DB17" s="57">
        <v>1</v>
      </c>
      <c r="DC17" s="54">
        <f t="shared" si="61"/>
        <v>100000</v>
      </c>
      <c r="DD17" s="54">
        <v>100000</v>
      </c>
      <c r="DE17" s="54">
        <f t="shared" si="16"/>
        <v>0</v>
      </c>
      <c r="DF17" s="54" t="b">
        <f t="shared" si="17"/>
        <v>1</v>
      </c>
    </row>
    <row r="18" spans="1:110" s="47" customFormat="1" ht="12.75">
      <c r="A18" s="6">
        <f t="shared" si="19"/>
        <v>15</v>
      </c>
      <c r="B18" s="7"/>
      <c r="C18" s="8"/>
      <c r="D18" s="9"/>
      <c r="E18" s="10">
        <v>0.01</v>
      </c>
      <c r="F18" s="11"/>
      <c r="G18" s="12"/>
      <c r="H18" s="27"/>
      <c r="I18" s="28"/>
      <c r="J18" s="21"/>
      <c r="K18" s="29"/>
      <c r="L18" s="29"/>
      <c r="M18" s="29"/>
      <c r="N18" s="29"/>
      <c r="O18" s="29"/>
      <c r="P18" s="32">
        <f t="shared" si="20"/>
        <v>0</v>
      </c>
      <c r="Q18" s="30">
        <f t="shared" si="18"/>
        <v>0</v>
      </c>
      <c r="R18" s="29"/>
      <c r="S18" s="30"/>
      <c r="T18" s="30"/>
      <c r="U18" s="32">
        <f t="shared" si="21"/>
        <v>0</v>
      </c>
      <c r="V18" s="33">
        <f t="shared" si="22"/>
        <v>0</v>
      </c>
      <c r="W18" s="33">
        <f t="shared" si="23"/>
        <v>0</v>
      </c>
      <c r="X18" s="85">
        <f t="shared" si="62"/>
        <v>0</v>
      </c>
      <c r="Y18" s="33"/>
      <c r="Z18" s="33"/>
      <c r="AA18" s="33"/>
      <c r="AB18" s="33">
        <f t="shared" si="24"/>
        <v>0</v>
      </c>
      <c r="AC18" s="33">
        <f t="shared" si="25"/>
        <v>0</v>
      </c>
      <c r="AD18" s="33">
        <f t="shared" si="26"/>
        <v>0</v>
      </c>
      <c r="AE18" s="33">
        <f t="shared" si="27"/>
        <v>0</v>
      </c>
      <c r="AF18" s="33">
        <f t="shared" si="28"/>
        <v>0</v>
      </c>
      <c r="AG18" s="33">
        <f t="shared" si="29"/>
        <v>0</v>
      </c>
      <c r="AH18" s="33">
        <f t="shared" si="30"/>
        <v>0</v>
      </c>
      <c r="AI18" s="33">
        <f t="shared" si="31"/>
        <v>0</v>
      </c>
      <c r="AJ18" s="33">
        <f t="shared" si="32"/>
        <v>0</v>
      </c>
      <c r="AK18" s="33">
        <f t="shared" si="33"/>
        <v>0</v>
      </c>
      <c r="AL18" s="33">
        <f t="shared" si="34"/>
        <v>0</v>
      </c>
      <c r="AM18" s="33">
        <f t="shared" si="4"/>
        <v>0</v>
      </c>
      <c r="AN18" s="33">
        <f t="shared" si="5"/>
        <v>0</v>
      </c>
      <c r="AO18" s="33">
        <f t="shared" si="6"/>
        <v>0</v>
      </c>
      <c r="AP18" s="33">
        <f t="shared" si="7"/>
        <v>0</v>
      </c>
      <c r="AQ18" s="33">
        <f t="shared" si="35"/>
        <v>0</v>
      </c>
      <c r="AR18" s="33">
        <f t="shared" si="36"/>
        <v>0</v>
      </c>
      <c r="AS18" s="33">
        <f t="shared" si="37"/>
        <v>0</v>
      </c>
      <c r="AT18" s="33">
        <f t="shared" si="38"/>
        <v>0</v>
      </c>
      <c r="AU18" s="33">
        <f t="shared" si="39"/>
        <v>0</v>
      </c>
      <c r="AV18" s="33">
        <f t="shared" si="40"/>
        <v>0</v>
      </c>
      <c r="AW18" s="33">
        <f t="shared" si="41"/>
        <v>0</v>
      </c>
      <c r="AX18" s="33">
        <f t="shared" si="42"/>
        <v>0</v>
      </c>
      <c r="AY18" s="33">
        <f t="shared" si="43"/>
        <v>0</v>
      </c>
      <c r="AZ18" s="33">
        <f t="shared" si="44"/>
        <v>0</v>
      </c>
      <c r="BA18" s="33">
        <f t="shared" si="45"/>
        <v>0</v>
      </c>
      <c r="BB18" s="33">
        <f t="shared" si="46"/>
        <v>0</v>
      </c>
      <c r="BC18" s="33">
        <f t="shared" si="47"/>
        <v>0</v>
      </c>
      <c r="BD18" s="33">
        <f t="shared" si="48"/>
        <v>0</v>
      </c>
      <c r="BE18" s="33">
        <f t="shared" si="49"/>
        <v>0</v>
      </c>
      <c r="BF18" s="33">
        <f t="shared" si="50"/>
        <v>0</v>
      </c>
      <c r="BG18" s="33">
        <f t="shared" si="51"/>
        <v>0</v>
      </c>
      <c r="BH18" s="33">
        <f t="shared" si="52"/>
        <v>0</v>
      </c>
      <c r="BI18" s="33">
        <f t="shared" si="53"/>
        <v>0</v>
      </c>
      <c r="BJ18" s="33">
        <f t="shared" si="54"/>
        <v>0</v>
      </c>
      <c r="BK18" s="33">
        <f t="shared" si="55"/>
        <v>0</v>
      </c>
      <c r="BL18" s="50">
        <f t="shared" si="56"/>
        <v>0</v>
      </c>
      <c r="BM18" s="86" t="s">
        <v>37</v>
      </c>
      <c r="BN18" s="86" t="s">
        <v>44</v>
      </c>
      <c r="BO18" s="51" t="s">
        <v>37</v>
      </c>
      <c r="BP18" s="51" t="s">
        <v>44</v>
      </c>
      <c r="BQ18" s="52">
        <f t="shared" si="12"/>
        <v>41091</v>
      </c>
      <c r="BR18" s="52">
        <f t="shared" si="13"/>
        <v>41456</v>
      </c>
      <c r="BS18" s="53">
        <f>ROUND((1+VLOOKUP(BQ18,'Расчет инфляции'!$E$5:$F$370,2,0))*(1+'Расчет инфляции'!$B$18/12*5)-1,4)</f>
        <v>0.0725</v>
      </c>
      <c r="BT18" s="53">
        <f>ROUND((1+VLOOKUP(BR18,'Расчет инфляции'!$I$5:$J$370,2,0))*(1+'Расчет инфляции'!$B$19)*(1+'Расчет инфляции'!$B$18/12*5)-1,4)</f>
        <v>0.1484</v>
      </c>
      <c r="BU18" s="50">
        <f t="shared" si="57"/>
        <v>0</v>
      </c>
      <c r="BV18" s="50">
        <f t="shared" si="58"/>
        <v>0</v>
      </c>
      <c r="BW18" s="192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V18" s="49"/>
      <c r="CW18" s="49"/>
      <c r="CX18" s="49"/>
      <c r="CY18" s="49">
        <f t="shared" si="59"/>
        <v>0</v>
      </c>
      <c r="CZ18" s="16" t="e">
        <f t="shared" si="60"/>
        <v>#DIV/0!</v>
      </c>
      <c r="DA18" s="56" t="e">
        <f t="shared" si="14"/>
        <v>#DIV/0!</v>
      </c>
      <c r="DB18" s="57">
        <v>1</v>
      </c>
      <c r="DC18" s="54">
        <f t="shared" si="61"/>
        <v>100000</v>
      </c>
      <c r="DD18" s="54">
        <v>100000</v>
      </c>
      <c r="DE18" s="54">
        <f t="shared" si="16"/>
        <v>0</v>
      </c>
      <c r="DF18" s="54" t="b">
        <f t="shared" si="17"/>
        <v>1</v>
      </c>
    </row>
    <row r="19" spans="1:110" s="47" customFormat="1" ht="12.75">
      <c r="A19" s="6">
        <f t="shared" si="19"/>
        <v>16</v>
      </c>
      <c r="B19" s="7"/>
      <c r="C19" s="8"/>
      <c r="D19" s="9"/>
      <c r="E19" s="10">
        <v>0.01</v>
      </c>
      <c r="F19" s="11"/>
      <c r="G19" s="12"/>
      <c r="H19" s="27"/>
      <c r="I19" s="28"/>
      <c r="J19" s="21"/>
      <c r="K19" s="29"/>
      <c r="L19" s="29"/>
      <c r="M19" s="29"/>
      <c r="N19" s="29"/>
      <c r="O19" s="29"/>
      <c r="P19" s="32">
        <f t="shared" si="20"/>
        <v>0</v>
      </c>
      <c r="Q19" s="30">
        <f t="shared" si="18"/>
        <v>0</v>
      </c>
      <c r="R19" s="29"/>
      <c r="S19" s="30"/>
      <c r="T19" s="30"/>
      <c r="U19" s="32">
        <f t="shared" si="21"/>
        <v>0</v>
      </c>
      <c r="V19" s="33">
        <f t="shared" si="22"/>
        <v>0</v>
      </c>
      <c r="W19" s="33">
        <f t="shared" si="23"/>
        <v>0</v>
      </c>
      <c r="X19" s="85">
        <f t="shared" si="62"/>
        <v>0</v>
      </c>
      <c r="Y19" s="33"/>
      <c r="Z19" s="33"/>
      <c r="AA19" s="33"/>
      <c r="AB19" s="33">
        <f t="shared" si="24"/>
        <v>0</v>
      </c>
      <c r="AC19" s="33">
        <f t="shared" si="25"/>
        <v>0</v>
      </c>
      <c r="AD19" s="33">
        <f t="shared" si="26"/>
        <v>0</v>
      </c>
      <c r="AE19" s="33">
        <f t="shared" si="27"/>
        <v>0</v>
      </c>
      <c r="AF19" s="33">
        <f t="shared" si="28"/>
        <v>0</v>
      </c>
      <c r="AG19" s="33">
        <f t="shared" si="29"/>
        <v>0</v>
      </c>
      <c r="AH19" s="33">
        <f t="shared" si="30"/>
        <v>0</v>
      </c>
      <c r="AI19" s="33">
        <f t="shared" si="31"/>
        <v>0</v>
      </c>
      <c r="AJ19" s="33">
        <f t="shared" si="32"/>
        <v>0</v>
      </c>
      <c r="AK19" s="33">
        <f t="shared" si="33"/>
        <v>0</v>
      </c>
      <c r="AL19" s="33">
        <f t="shared" si="34"/>
        <v>0</v>
      </c>
      <c r="AM19" s="33">
        <f t="shared" si="4"/>
        <v>0</v>
      </c>
      <c r="AN19" s="33">
        <f t="shared" si="5"/>
        <v>0</v>
      </c>
      <c r="AO19" s="33">
        <f t="shared" si="6"/>
        <v>0</v>
      </c>
      <c r="AP19" s="33">
        <f t="shared" si="7"/>
        <v>0</v>
      </c>
      <c r="AQ19" s="33">
        <f t="shared" si="35"/>
        <v>0</v>
      </c>
      <c r="AR19" s="33">
        <f t="shared" si="36"/>
        <v>0</v>
      </c>
      <c r="AS19" s="33">
        <f t="shared" si="37"/>
        <v>0</v>
      </c>
      <c r="AT19" s="33">
        <f t="shared" si="38"/>
        <v>0</v>
      </c>
      <c r="AU19" s="33">
        <f t="shared" si="39"/>
        <v>0</v>
      </c>
      <c r="AV19" s="33">
        <f t="shared" si="40"/>
        <v>0</v>
      </c>
      <c r="AW19" s="33">
        <f t="shared" si="41"/>
        <v>0</v>
      </c>
      <c r="AX19" s="33">
        <f t="shared" si="42"/>
        <v>0</v>
      </c>
      <c r="AY19" s="33">
        <f t="shared" si="43"/>
        <v>0</v>
      </c>
      <c r="AZ19" s="33">
        <f t="shared" si="44"/>
        <v>0</v>
      </c>
      <c r="BA19" s="33">
        <f t="shared" si="45"/>
        <v>0</v>
      </c>
      <c r="BB19" s="33">
        <f t="shared" si="46"/>
        <v>0</v>
      </c>
      <c r="BC19" s="33">
        <f t="shared" si="47"/>
        <v>0</v>
      </c>
      <c r="BD19" s="33">
        <f t="shared" si="48"/>
        <v>0</v>
      </c>
      <c r="BE19" s="33">
        <f t="shared" si="49"/>
        <v>0</v>
      </c>
      <c r="BF19" s="33">
        <f t="shared" si="50"/>
        <v>0</v>
      </c>
      <c r="BG19" s="33">
        <f t="shared" si="51"/>
        <v>0</v>
      </c>
      <c r="BH19" s="33">
        <f t="shared" si="52"/>
        <v>0</v>
      </c>
      <c r="BI19" s="33">
        <f t="shared" si="53"/>
        <v>0</v>
      </c>
      <c r="BJ19" s="33">
        <f t="shared" si="54"/>
        <v>0</v>
      </c>
      <c r="BK19" s="33">
        <f t="shared" si="55"/>
        <v>0</v>
      </c>
      <c r="BL19" s="50">
        <f t="shared" si="56"/>
        <v>0</v>
      </c>
      <c r="BM19" s="86" t="s">
        <v>37</v>
      </c>
      <c r="BN19" s="86" t="s">
        <v>44</v>
      </c>
      <c r="BO19" s="51" t="s">
        <v>37</v>
      </c>
      <c r="BP19" s="51" t="s">
        <v>44</v>
      </c>
      <c r="BQ19" s="52">
        <f t="shared" si="12"/>
        <v>41091</v>
      </c>
      <c r="BR19" s="52">
        <f t="shared" si="13"/>
        <v>41456</v>
      </c>
      <c r="BS19" s="53">
        <f>ROUND((1+VLOOKUP(BQ19,'Расчет инфляции'!$E$5:$F$370,2,0))*(1+'Расчет инфляции'!$B$18/12*5)-1,4)</f>
        <v>0.0725</v>
      </c>
      <c r="BT19" s="53">
        <f>ROUND((1+VLOOKUP(BR19,'Расчет инфляции'!$I$5:$J$370,2,0))*(1+'Расчет инфляции'!$B$19)*(1+'Расчет инфляции'!$B$18/12*5)-1,4)</f>
        <v>0.1484</v>
      </c>
      <c r="BU19" s="50">
        <f t="shared" si="57"/>
        <v>0</v>
      </c>
      <c r="BV19" s="50">
        <f t="shared" si="58"/>
        <v>0</v>
      </c>
      <c r="BW19" s="192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V19" s="49"/>
      <c r="CW19" s="49"/>
      <c r="CX19" s="49"/>
      <c r="CY19" s="49">
        <f t="shared" si="59"/>
        <v>0</v>
      </c>
      <c r="CZ19" s="16" t="e">
        <f t="shared" si="60"/>
        <v>#DIV/0!</v>
      </c>
      <c r="DA19" s="56" t="e">
        <f t="shared" si="14"/>
        <v>#DIV/0!</v>
      </c>
      <c r="DB19" s="57">
        <v>1</v>
      </c>
      <c r="DC19" s="54">
        <f t="shared" si="61"/>
        <v>100000</v>
      </c>
      <c r="DD19" s="54">
        <v>100000</v>
      </c>
      <c r="DE19" s="54">
        <f t="shared" si="16"/>
        <v>0</v>
      </c>
      <c r="DF19" s="54" t="b">
        <f t="shared" si="17"/>
        <v>1</v>
      </c>
    </row>
    <row r="20" spans="1:110" s="47" customFormat="1" ht="12.75">
      <c r="A20" s="6">
        <f t="shared" si="19"/>
        <v>17</v>
      </c>
      <c r="B20" s="7"/>
      <c r="C20" s="8"/>
      <c r="D20" s="9"/>
      <c r="E20" s="10">
        <v>0.01</v>
      </c>
      <c r="F20" s="11"/>
      <c r="G20" s="12"/>
      <c r="H20" s="27"/>
      <c r="I20" s="28"/>
      <c r="J20" s="21"/>
      <c r="K20" s="29"/>
      <c r="L20" s="29"/>
      <c r="M20" s="29"/>
      <c r="N20" s="29"/>
      <c r="O20" s="29"/>
      <c r="P20" s="32">
        <f t="shared" si="20"/>
        <v>0</v>
      </c>
      <c r="Q20" s="30">
        <f t="shared" si="18"/>
        <v>0</v>
      </c>
      <c r="R20" s="29"/>
      <c r="S20" s="30"/>
      <c r="T20" s="30"/>
      <c r="U20" s="32">
        <f t="shared" si="21"/>
        <v>0</v>
      </c>
      <c r="V20" s="33">
        <f t="shared" si="22"/>
        <v>0</v>
      </c>
      <c r="W20" s="33">
        <f t="shared" si="23"/>
        <v>0</v>
      </c>
      <c r="X20" s="85">
        <f t="shared" si="62"/>
        <v>0</v>
      </c>
      <c r="Y20" s="33"/>
      <c r="Z20" s="33"/>
      <c r="AA20" s="33"/>
      <c r="AB20" s="33">
        <f t="shared" si="24"/>
        <v>0</v>
      </c>
      <c r="AC20" s="33">
        <f t="shared" si="25"/>
        <v>0</v>
      </c>
      <c r="AD20" s="33">
        <f t="shared" si="26"/>
        <v>0</v>
      </c>
      <c r="AE20" s="33">
        <f t="shared" si="27"/>
        <v>0</v>
      </c>
      <c r="AF20" s="33">
        <f t="shared" si="28"/>
        <v>0</v>
      </c>
      <c r="AG20" s="33">
        <f t="shared" si="29"/>
        <v>0</v>
      </c>
      <c r="AH20" s="33">
        <f t="shared" si="30"/>
        <v>0</v>
      </c>
      <c r="AI20" s="33">
        <f t="shared" si="31"/>
        <v>0</v>
      </c>
      <c r="AJ20" s="33">
        <f t="shared" si="32"/>
        <v>0</v>
      </c>
      <c r="AK20" s="33">
        <f t="shared" si="33"/>
        <v>0</v>
      </c>
      <c r="AL20" s="33">
        <f t="shared" si="34"/>
        <v>0</v>
      </c>
      <c r="AM20" s="33">
        <f t="shared" si="4"/>
        <v>0</v>
      </c>
      <c r="AN20" s="33">
        <f t="shared" si="5"/>
        <v>0</v>
      </c>
      <c r="AO20" s="33">
        <f t="shared" si="6"/>
        <v>0</v>
      </c>
      <c r="AP20" s="33">
        <f t="shared" si="7"/>
        <v>0</v>
      </c>
      <c r="AQ20" s="33">
        <f t="shared" si="35"/>
        <v>0</v>
      </c>
      <c r="AR20" s="33">
        <f t="shared" si="36"/>
        <v>0</v>
      </c>
      <c r="AS20" s="33">
        <f t="shared" si="37"/>
        <v>0</v>
      </c>
      <c r="AT20" s="33">
        <f t="shared" si="38"/>
        <v>0</v>
      </c>
      <c r="AU20" s="33">
        <f t="shared" si="39"/>
        <v>0</v>
      </c>
      <c r="AV20" s="33">
        <f t="shared" si="40"/>
        <v>0</v>
      </c>
      <c r="AW20" s="33">
        <f t="shared" si="41"/>
        <v>0</v>
      </c>
      <c r="AX20" s="33">
        <f t="shared" si="42"/>
        <v>0</v>
      </c>
      <c r="AY20" s="33">
        <f t="shared" si="43"/>
        <v>0</v>
      </c>
      <c r="AZ20" s="33">
        <f t="shared" si="44"/>
        <v>0</v>
      </c>
      <c r="BA20" s="33">
        <f t="shared" si="45"/>
        <v>0</v>
      </c>
      <c r="BB20" s="33">
        <f t="shared" si="46"/>
        <v>0</v>
      </c>
      <c r="BC20" s="33">
        <f t="shared" si="47"/>
        <v>0</v>
      </c>
      <c r="BD20" s="33">
        <f t="shared" si="48"/>
        <v>0</v>
      </c>
      <c r="BE20" s="33">
        <f t="shared" si="49"/>
        <v>0</v>
      </c>
      <c r="BF20" s="33">
        <f t="shared" si="50"/>
        <v>0</v>
      </c>
      <c r="BG20" s="33">
        <f t="shared" si="51"/>
        <v>0</v>
      </c>
      <c r="BH20" s="33">
        <f t="shared" si="52"/>
        <v>0</v>
      </c>
      <c r="BI20" s="33">
        <f t="shared" si="53"/>
        <v>0</v>
      </c>
      <c r="BJ20" s="33">
        <f t="shared" si="54"/>
        <v>0</v>
      </c>
      <c r="BK20" s="33">
        <f t="shared" si="55"/>
        <v>0</v>
      </c>
      <c r="BL20" s="50">
        <f t="shared" si="56"/>
        <v>0</v>
      </c>
      <c r="BM20" s="86" t="s">
        <v>37</v>
      </c>
      <c r="BN20" s="86" t="s">
        <v>44</v>
      </c>
      <c r="BO20" s="51" t="s">
        <v>37</v>
      </c>
      <c r="BP20" s="51" t="s">
        <v>44</v>
      </c>
      <c r="BQ20" s="52">
        <f t="shared" si="12"/>
        <v>41091</v>
      </c>
      <c r="BR20" s="52">
        <f t="shared" si="13"/>
        <v>41456</v>
      </c>
      <c r="BS20" s="53">
        <f>ROUND((1+VLOOKUP(BQ20,'Расчет инфляции'!$E$5:$F$370,2,0))*(1+'Расчет инфляции'!$B$18/12*5)-1,4)</f>
        <v>0.0725</v>
      </c>
      <c r="BT20" s="53">
        <f>ROUND((1+VLOOKUP(BR20,'Расчет инфляции'!$I$5:$J$370,2,0))*(1+'Расчет инфляции'!$B$19)*(1+'Расчет инфляции'!$B$18/12*5)-1,4)</f>
        <v>0.1484</v>
      </c>
      <c r="BU20" s="50">
        <f t="shared" si="57"/>
        <v>0</v>
      </c>
      <c r="BV20" s="50">
        <f t="shared" si="58"/>
        <v>0</v>
      </c>
      <c r="BW20" s="192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V20" s="49"/>
      <c r="CW20" s="49"/>
      <c r="CX20" s="49"/>
      <c r="CY20" s="49">
        <f t="shared" si="59"/>
        <v>0</v>
      </c>
      <c r="CZ20" s="16" t="e">
        <f t="shared" si="60"/>
        <v>#DIV/0!</v>
      </c>
      <c r="DA20" s="56" t="e">
        <f t="shared" si="14"/>
        <v>#DIV/0!</v>
      </c>
      <c r="DB20" s="57">
        <v>1</v>
      </c>
      <c r="DC20" s="54">
        <f t="shared" si="61"/>
        <v>100000</v>
      </c>
      <c r="DD20" s="54">
        <v>100000</v>
      </c>
      <c r="DE20" s="54">
        <f t="shared" si="16"/>
        <v>0</v>
      </c>
      <c r="DF20" s="54" t="b">
        <f t="shared" si="17"/>
        <v>1</v>
      </c>
    </row>
    <row r="21" spans="1:110" s="47" customFormat="1" ht="12.75">
      <c r="A21" s="6">
        <f t="shared" si="19"/>
        <v>18</v>
      </c>
      <c r="B21" s="7"/>
      <c r="C21" s="8"/>
      <c r="D21" s="9"/>
      <c r="E21" s="10">
        <v>0.01</v>
      </c>
      <c r="F21" s="11"/>
      <c r="G21" s="12"/>
      <c r="H21" s="27"/>
      <c r="I21" s="28"/>
      <c r="J21" s="21"/>
      <c r="K21" s="29"/>
      <c r="L21" s="29"/>
      <c r="M21" s="29"/>
      <c r="N21" s="29"/>
      <c r="O21" s="29"/>
      <c r="P21" s="32">
        <f t="shared" si="20"/>
        <v>0</v>
      </c>
      <c r="Q21" s="30">
        <f t="shared" si="18"/>
        <v>0</v>
      </c>
      <c r="R21" s="29"/>
      <c r="S21" s="30"/>
      <c r="T21" s="30"/>
      <c r="U21" s="32">
        <f t="shared" si="21"/>
        <v>0</v>
      </c>
      <c r="V21" s="33">
        <f t="shared" si="22"/>
        <v>0</v>
      </c>
      <c r="W21" s="33">
        <f t="shared" si="23"/>
        <v>0</v>
      </c>
      <c r="X21" s="85">
        <f t="shared" si="62"/>
        <v>0</v>
      </c>
      <c r="Y21" s="33"/>
      <c r="Z21" s="33"/>
      <c r="AA21" s="33"/>
      <c r="AB21" s="33">
        <f t="shared" si="24"/>
        <v>0</v>
      </c>
      <c r="AC21" s="33">
        <f t="shared" si="25"/>
        <v>0</v>
      </c>
      <c r="AD21" s="33">
        <f t="shared" si="26"/>
        <v>0</v>
      </c>
      <c r="AE21" s="33">
        <f t="shared" si="27"/>
        <v>0</v>
      </c>
      <c r="AF21" s="33">
        <f t="shared" si="28"/>
        <v>0</v>
      </c>
      <c r="AG21" s="33">
        <f t="shared" si="29"/>
        <v>0</v>
      </c>
      <c r="AH21" s="33">
        <f t="shared" si="30"/>
        <v>0</v>
      </c>
      <c r="AI21" s="33">
        <f t="shared" si="31"/>
        <v>0</v>
      </c>
      <c r="AJ21" s="33">
        <f t="shared" si="32"/>
        <v>0</v>
      </c>
      <c r="AK21" s="33">
        <f t="shared" si="33"/>
        <v>0</v>
      </c>
      <c r="AL21" s="33">
        <f t="shared" si="34"/>
        <v>0</v>
      </c>
      <c r="AM21" s="33">
        <f t="shared" si="4"/>
        <v>0</v>
      </c>
      <c r="AN21" s="33">
        <f t="shared" si="5"/>
        <v>0</v>
      </c>
      <c r="AO21" s="33">
        <f t="shared" si="6"/>
        <v>0</v>
      </c>
      <c r="AP21" s="33">
        <f t="shared" si="7"/>
        <v>0</v>
      </c>
      <c r="AQ21" s="33">
        <f t="shared" si="35"/>
        <v>0</v>
      </c>
      <c r="AR21" s="33">
        <f t="shared" si="36"/>
        <v>0</v>
      </c>
      <c r="AS21" s="33">
        <f t="shared" si="37"/>
        <v>0</v>
      </c>
      <c r="AT21" s="33">
        <f t="shared" si="38"/>
        <v>0</v>
      </c>
      <c r="AU21" s="33">
        <f t="shared" si="39"/>
        <v>0</v>
      </c>
      <c r="AV21" s="33">
        <f t="shared" si="40"/>
        <v>0</v>
      </c>
      <c r="AW21" s="33">
        <f t="shared" si="41"/>
        <v>0</v>
      </c>
      <c r="AX21" s="33">
        <f t="shared" si="42"/>
        <v>0</v>
      </c>
      <c r="AY21" s="33">
        <f t="shared" si="43"/>
        <v>0</v>
      </c>
      <c r="AZ21" s="33">
        <f t="shared" si="44"/>
        <v>0</v>
      </c>
      <c r="BA21" s="33">
        <f t="shared" si="45"/>
        <v>0</v>
      </c>
      <c r="BB21" s="33">
        <f t="shared" si="46"/>
        <v>0</v>
      </c>
      <c r="BC21" s="33">
        <f t="shared" si="47"/>
        <v>0</v>
      </c>
      <c r="BD21" s="33">
        <f t="shared" si="48"/>
        <v>0</v>
      </c>
      <c r="BE21" s="33">
        <f t="shared" si="49"/>
        <v>0</v>
      </c>
      <c r="BF21" s="33">
        <f t="shared" si="50"/>
        <v>0</v>
      </c>
      <c r="BG21" s="33">
        <f t="shared" si="51"/>
        <v>0</v>
      </c>
      <c r="BH21" s="33">
        <f t="shared" si="52"/>
        <v>0</v>
      </c>
      <c r="BI21" s="33">
        <f t="shared" si="53"/>
        <v>0</v>
      </c>
      <c r="BJ21" s="33">
        <f t="shared" si="54"/>
        <v>0</v>
      </c>
      <c r="BK21" s="33">
        <f t="shared" si="55"/>
        <v>0</v>
      </c>
      <c r="BL21" s="50">
        <f t="shared" si="56"/>
        <v>0</v>
      </c>
      <c r="BM21" s="86" t="s">
        <v>37</v>
      </c>
      <c r="BN21" s="86" t="s">
        <v>44</v>
      </c>
      <c r="BO21" s="51" t="s">
        <v>37</v>
      </c>
      <c r="BP21" s="51" t="s">
        <v>44</v>
      </c>
      <c r="BQ21" s="52">
        <f t="shared" si="12"/>
        <v>41091</v>
      </c>
      <c r="BR21" s="52">
        <f t="shared" si="13"/>
        <v>41456</v>
      </c>
      <c r="BS21" s="53">
        <f>ROUND((1+VLOOKUP(BQ21,'Расчет инфляции'!$E$5:$F$370,2,0))*(1+'Расчет инфляции'!$B$18/12*5)-1,4)</f>
        <v>0.0725</v>
      </c>
      <c r="BT21" s="53">
        <f>ROUND((1+VLOOKUP(BR21,'Расчет инфляции'!$I$5:$J$370,2,0))*(1+'Расчет инфляции'!$B$19)*(1+'Расчет инфляции'!$B$18/12*5)-1,4)</f>
        <v>0.1484</v>
      </c>
      <c r="BU21" s="50">
        <f t="shared" si="57"/>
        <v>0</v>
      </c>
      <c r="BV21" s="50">
        <f t="shared" si="58"/>
        <v>0</v>
      </c>
      <c r="BW21" s="192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V21" s="49"/>
      <c r="CW21" s="49"/>
      <c r="CX21" s="49"/>
      <c r="CY21" s="49">
        <f t="shared" si="59"/>
        <v>0</v>
      </c>
      <c r="CZ21" s="16" t="e">
        <f t="shared" si="60"/>
        <v>#DIV/0!</v>
      </c>
      <c r="DA21" s="56" t="e">
        <f t="shared" si="14"/>
        <v>#DIV/0!</v>
      </c>
      <c r="DB21" s="57">
        <v>1</v>
      </c>
      <c r="DC21" s="54">
        <f t="shared" si="61"/>
        <v>100000</v>
      </c>
      <c r="DD21" s="54">
        <v>100000</v>
      </c>
      <c r="DE21" s="54">
        <f t="shared" si="16"/>
        <v>0</v>
      </c>
      <c r="DF21" s="54" t="b">
        <f t="shared" si="17"/>
        <v>1</v>
      </c>
    </row>
    <row r="22" spans="1:110" s="47" customFormat="1" ht="12.75">
      <c r="A22" s="6">
        <f t="shared" si="19"/>
        <v>19</v>
      </c>
      <c r="B22" s="7"/>
      <c r="C22" s="8"/>
      <c r="D22" s="9"/>
      <c r="E22" s="10">
        <v>0.01</v>
      </c>
      <c r="F22" s="11"/>
      <c r="G22" s="12"/>
      <c r="H22" s="27"/>
      <c r="I22" s="28"/>
      <c r="J22" s="21"/>
      <c r="K22" s="29"/>
      <c r="L22" s="29"/>
      <c r="M22" s="29"/>
      <c r="N22" s="29"/>
      <c r="O22" s="29"/>
      <c r="P22" s="32">
        <f t="shared" si="20"/>
        <v>0</v>
      </c>
      <c r="Q22" s="30">
        <f t="shared" si="18"/>
        <v>0</v>
      </c>
      <c r="R22" s="29"/>
      <c r="S22" s="30"/>
      <c r="T22" s="30"/>
      <c r="U22" s="32">
        <f t="shared" si="21"/>
        <v>0</v>
      </c>
      <c r="V22" s="33">
        <f t="shared" si="22"/>
        <v>0</v>
      </c>
      <c r="W22" s="33">
        <f t="shared" si="23"/>
        <v>0</v>
      </c>
      <c r="X22" s="85">
        <f t="shared" si="62"/>
        <v>0</v>
      </c>
      <c r="Y22" s="33"/>
      <c r="Z22" s="33"/>
      <c r="AA22" s="33"/>
      <c r="AB22" s="33">
        <f t="shared" si="24"/>
        <v>0</v>
      </c>
      <c r="AC22" s="33">
        <f t="shared" si="25"/>
        <v>0</v>
      </c>
      <c r="AD22" s="33">
        <f t="shared" si="26"/>
        <v>0</v>
      </c>
      <c r="AE22" s="33">
        <f t="shared" si="27"/>
        <v>0</v>
      </c>
      <c r="AF22" s="33">
        <f t="shared" si="28"/>
        <v>0</v>
      </c>
      <c r="AG22" s="33">
        <f t="shared" si="29"/>
        <v>0</v>
      </c>
      <c r="AH22" s="33">
        <f t="shared" si="30"/>
        <v>0</v>
      </c>
      <c r="AI22" s="33">
        <f t="shared" si="31"/>
        <v>0</v>
      </c>
      <c r="AJ22" s="33">
        <f t="shared" si="32"/>
        <v>0</v>
      </c>
      <c r="AK22" s="33">
        <f t="shared" si="33"/>
        <v>0</v>
      </c>
      <c r="AL22" s="33">
        <f t="shared" si="34"/>
        <v>0</v>
      </c>
      <c r="AM22" s="33">
        <f t="shared" si="4"/>
        <v>0</v>
      </c>
      <c r="AN22" s="33">
        <f t="shared" si="5"/>
        <v>0</v>
      </c>
      <c r="AO22" s="33">
        <f t="shared" si="6"/>
        <v>0</v>
      </c>
      <c r="AP22" s="33">
        <f t="shared" si="7"/>
        <v>0</v>
      </c>
      <c r="AQ22" s="33">
        <f t="shared" si="35"/>
        <v>0</v>
      </c>
      <c r="AR22" s="33">
        <f t="shared" si="36"/>
        <v>0</v>
      </c>
      <c r="AS22" s="33">
        <f t="shared" si="37"/>
        <v>0</v>
      </c>
      <c r="AT22" s="33">
        <f t="shared" si="38"/>
        <v>0</v>
      </c>
      <c r="AU22" s="33">
        <f t="shared" si="39"/>
        <v>0</v>
      </c>
      <c r="AV22" s="33">
        <f t="shared" si="40"/>
        <v>0</v>
      </c>
      <c r="AW22" s="33">
        <f t="shared" si="41"/>
        <v>0</v>
      </c>
      <c r="AX22" s="33">
        <f t="shared" si="42"/>
        <v>0</v>
      </c>
      <c r="AY22" s="33">
        <f t="shared" si="43"/>
        <v>0</v>
      </c>
      <c r="AZ22" s="33">
        <f t="shared" si="44"/>
        <v>0</v>
      </c>
      <c r="BA22" s="33">
        <f t="shared" si="45"/>
        <v>0</v>
      </c>
      <c r="BB22" s="33">
        <f t="shared" si="46"/>
        <v>0</v>
      </c>
      <c r="BC22" s="33">
        <f t="shared" si="47"/>
        <v>0</v>
      </c>
      <c r="BD22" s="33">
        <f t="shared" si="48"/>
        <v>0</v>
      </c>
      <c r="BE22" s="33">
        <f t="shared" si="49"/>
        <v>0</v>
      </c>
      <c r="BF22" s="33">
        <f t="shared" si="50"/>
        <v>0</v>
      </c>
      <c r="BG22" s="33">
        <f t="shared" si="51"/>
        <v>0</v>
      </c>
      <c r="BH22" s="33">
        <f t="shared" si="52"/>
        <v>0</v>
      </c>
      <c r="BI22" s="33">
        <f t="shared" si="53"/>
        <v>0</v>
      </c>
      <c r="BJ22" s="33">
        <f t="shared" si="54"/>
        <v>0</v>
      </c>
      <c r="BK22" s="33">
        <f t="shared" si="55"/>
        <v>0</v>
      </c>
      <c r="BL22" s="50">
        <f t="shared" si="56"/>
        <v>0</v>
      </c>
      <c r="BM22" s="86" t="s">
        <v>37</v>
      </c>
      <c r="BN22" s="86" t="s">
        <v>44</v>
      </c>
      <c r="BO22" s="51" t="s">
        <v>37</v>
      </c>
      <c r="BP22" s="51" t="s">
        <v>44</v>
      </c>
      <c r="BQ22" s="52">
        <f t="shared" si="12"/>
        <v>41091</v>
      </c>
      <c r="BR22" s="52">
        <f t="shared" si="13"/>
        <v>41456</v>
      </c>
      <c r="BS22" s="53">
        <f>ROUND((1+VLOOKUP(BQ22,'Расчет инфляции'!$E$5:$F$370,2,0))*(1+'Расчет инфляции'!$B$18/12*5)-1,4)</f>
        <v>0.0725</v>
      </c>
      <c r="BT22" s="53">
        <f>ROUND((1+VLOOKUP(BR22,'Расчет инфляции'!$I$5:$J$370,2,0))*(1+'Расчет инфляции'!$B$19)*(1+'Расчет инфляции'!$B$18/12*5)-1,4)</f>
        <v>0.1484</v>
      </c>
      <c r="BU22" s="50">
        <f t="shared" si="57"/>
        <v>0</v>
      </c>
      <c r="BV22" s="50">
        <f t="shared" si="58"/>
        <v>0</v>
      </c>
      <c r="BW22" s="192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V22" s="49"/>
      <c r="CW22" s="49"/>
      <c r="CX22" s="49"/>
      <c r="CY22" s="49">
        <f t="shared" si="59"/>
        <v>0</v>
      </c>
      <c r="CZ22" s="16" t="e">
        <f t="shared" si="60"/>
        <v>#DIV/0!</v>
      </c>
      <c r="DA22" s="56" t="e">
        <f t="shared" si="14"/>
        <v>#DIV/0!</v>
      </c>
      <c r="DB22" s="57">
        <v>1</v>
      </c>
      <c r="DC22" s="54">
        <f t="shared" si="61"/>
        <v>100000</v>
      </c>
      <c r="DD22" s="54">
        <v>100000</v>
      </c>
      <c r="DE22" s="54">
        <f t="shared" si="16"/>
        <v>0</v>
      </c>
      <c r="DF22" s="54" t="b">
        <f t="shared" si="17"/>
        <v>1</v>
      </c>
    </row>
    <row r="23" spans="1:110" s="47" customFormat="1" ht="12.75">
      <c r="A23" s="6">
        <f t="shared" si="19"/>
        <v>20</v>
      </c>
      <c r="B23" s="7"/>
      <c r="C23" s="8"/>
      <c r="D23" s="9"/>
      <c r="E23" s="10">
        <v>0.01</v>
      </c>
      <c r="F23" s="11"/>
      <c r="G23" s="12"/>
      <c r="H23" s="27"/>
      <c r="I23" s="28"/>
      <c r="J23" s="21"/>
      <c r="K23" s="29"/>
      <c r="L23" s="29"/>
      <c r="M23" s="29"/>
      <c r="N23" s="29"/>
      <c r="O23" s="29"/>
      <c r="P23" s="32">
        <f t="shared" si="20"/>
        <v>0</v>
      </c>
      <c r="Q23" s="30">
        <f t="shared" si="18"/>
        <v>0</v>
      </c>
      <c r="R23" s="29"/>
      <c r="S23" s="30"/>
      <c r="T23" s="30"/>
      <c r="U23" s="32">
        <f t="shared" si="21"/>
        <v>0</v>
      </c>
      <c r="V23" s="33">
        <f t="shared" si="22"/>
        <v>0</v>
      </c>
      <c r="W23" s="33">
        <f t="shared" si="23"/>
        <v>0</v>
      </c>
      <c r="X23" s="85">
        <f t="shared" si="62"/>
        <v>0</v>
      </c>
      <c r="Y23" s="33"/>
      <c r="Z23" s="33"/>
      <c r="AA23" s="33"/>
      <c r="AB23" s="33">
        <f t="shared" si="24"/>
        <v>0</v>
      </c>
      <c r="AC23" s="33">
        <f t="shared" si="25"/>
        <v>0</v>
      </c>
      <c r="AD23" s="33">
        <f t="shared" si="26"/>
        <v>0</v>
      </c>
      <c r="AE23" s="33">
        <f t="shared" si="27"/>
        <v>0</v>
      </c>
      <c r="AF23" s="33">
        <f t="shared" si="28"/>
        <v>0</v>
      </c>
      <c r="AG23" s="33">
        <f t="shared" si="29"/>
        <v>0</v>
      </c>
      <c r="AH23" s="33">
        <f t="shared" si="30"/>
        <v>0</v>
      </c>
      <c r="AI23" s="33">
        <f t="shared" si="31"/>
        <v>0</v>
      </c>
      <c r="AJ23" s="33">
        <f t="shared" si="32"/>
        <v>0</v>
      </c>
      <c r="AK23" s="33">
        <f t="shared" si="33"/>
        <v>0</v>
      </c>
      <c r="AL23" s="33">
        <f t="shared" si="34"/>
        <v>0</v>
      </c>
      <c r="AM23" s="33">
        <f t="shared" si="4"/>
        <v>0</v>
      </c>
      <c r="AN23" s="33">
        <f t="shared" si="5"/>
        <v>0</v>
      </c>
      <c r="AO23" s="33">
        <f t="shared" si="6"/>
        <v>0</v>
      </c>
      <c r="AP23" s="33">
        <f t="shared" si="7"/>
        <v>0</v>
      </c>
      <c r="AQ23" s="33">
        <f t="shared" si="35"/>
        <v>0</v>
      </c>
      <c r="AR23" s="33">
        <f t="shared" si="36"/>
        <v>0</v>
      </c>
      <c r="AS23" s="33">
        <f t="shared" si="37"/>
        <v>0</v>
      </c>
      <c r="AT23" s="33">
        <f t="shared" si="38"/>
        <v>0</v>
      </c>
      <c r="AU23" s="33">
        <f t="shared" si="39"/>
        <v>0</v>
      </c>
      <c r="AV23" s="33">
        <f t="shared" si="40"/>
        <v>0</v>
      </c>
      <c r="AW23" s="33">
        <f t="shared" si="41"/>
        <v>0</v>
      </c>
      <c r="AX23" s="33">
        <f t="shared" si="42"/>
        <v>0</v>
      </c>
      <c r="AY23" s="33">
        <f t="shared" si="43"/>
        <v>0</v>
      </c>
      <c r="AZ23" s="33">
        <f t="shared" si="44"/>
        <v>0</v>
      </c>
      <c r="BA23" s="33">
        <f t="shared" si="45"/>
        <v>0</v>
      </c>
      <c r="BB23" s="33">
        <f t="shared" si="46"/>
        <v>0</v>
      </c>
      <c r="BC23" s="33">
        <f t="shared" si="47"/>
        <v>0</v>
      </c>
      <c r="BD23" s="33">
        <f t="shared" si="48"/>
        <v>0</v>
      </c>
      <c r="BE23" s="33">
        <f t="shared" si="49"/>
        <v>0</v>
      </c>
      <c r="BF23" s="33">
        <f t="shared" si="50"/>
        <v>0</v>
      </c>
      <c r="BG23" s="33">
        <f t="shared" si="51"/>
        <v>0</v>
      </c>
      <c r="BH23" s="33">
        <f t="shared" si="52"/>
        <v>0</v>
      </c>
      <c r="BI23" s="33">
        <f t="shared" si="53"/>
        <v>0</v>
      </c>
      <c r="BJ23" s="33">
        <f t="shared" si="54"/>
        <v>0</v>
      </c>
      <c r="BK23" s="33">
        <f t="shared" si="55"/>
        <v>0</v>
      </c>
      <c r="BL23" s="50">
        <f t="shared" si="56"/>
        <v>0</v>
      </c>
      <c r="BM23" s="86" t="s">
        <v>37</v>
      </c>
      <c r="BN23" s="86" t="s">
        <v>44</v>
      </c>
      <c r="BO23" s="51" t="s">
        <v>37</v>
      </c>
      <c r="BP23" s="51" t="s">
        <v>44</v>
      </c>
      <c r="BQ23" s="52">
        <f t="shared" si="12"/>
        <v>41091</v>
      </c>
      <c r="BR23" s="52">
        <f t="shared" si="13"/>
        <v>41456</v>
      </c>
      <c r="BS23" s="53">
        <f>ROUND((1+VLOOKUP(BQ23,'Расчет инфляции'!$E$5:$F$370,2,0))*(1+'Расчет инфляции'!$B$18/12*5)-1,4)</f>
        <v>0.0725</v>
      </c>
      <c r="BT23" s="53">
        <f>ROUND((1+VLOOKUP(BR23,'Расчет инфляции'!$I$5:$J$370,2,0))*(1+'Расчет инфляции'!$B$19)*(1+'Расчет инфляции'!$B$18/12*5)-1,4)</f>
        <v>0.1484</v>
      </c>
      <c r="BU23" s="50">
        <f t="shared" si="57"/>
        <v>0</v>
      </c>
      <c r="BV23" s="50">
        <f t="shared" si="58"/>
        <v>0</v>
      </c>
      <c r="BW23" s="192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V23" s="49"/>
      <c r="CW23" s="49"/>
      <c r="CX23" s="49"/>
      <c r="CY23" s="49">
        <f t="shared" si="59"/>
        <v>0</v>
      </c>
      <c r="CZ23" s="16" t="e">
        <f t="shared" si="60"/>
        <v>#DIV/0!</v>
      </c>
      <c r="DA23" s="56" t="e">
        <f t="shared" si="14"/>
        <v>#DIV/0!</v>
      </c>
      <c r="DB23" s="57">
        <v>1</v>
      </c>
      <c r="DC23" s="54">
        <f t="shared" si="61"/>
        <v>100000</v>
      </c>
      <c r="DD23" s="54">
        <v>100000</v>
      </c>
      <c r="DE23" s="54">
        <f t="shared" si="16"/>
        <v>0</v>
      </c>
      <c r="DF23" s="54" t="b">
        <f t="shared" si="17"/>
        <v>1</v>
      </c>
    </row>
    <row r="24" spans="1:110" s="47" customFormat="1" ht="12.75">
      <c r="A24" s="6">
        <f t="shared" si="19"/>
        <v>21</v>
      </c>
      <c r="B24" s="7"/>
      <c r="C24" s="8"/>
      <c r="D24" s="9"/>
      <c r="E24" s="10">
        <v>0.01</v>
      </c>
      <c r="F24" s="11"/>
      <c r="G24" s="12"/>
      <c r="H24" s="27"/>
      <c r="I24" s="28"/>
      <c r="J24" s="21"/>
      <c r="K24" s="29"/>
      <c r="L24" s="29"/>
      <c r="M24" s="29"/>
      <c r="N24" s="29"/>
      <c r="O24" s="29"/>
      <c r="P24" s="32">
        <f t="shared" si="20"/>
        <v>0</v>
      </c>
      <c r="Q24" s="30">
        <f t="shared" si="18"/>
        <v>0</v>
      </c>
      <c r="R24" s="29"/>
      <c r="S24" s="30"/>
      <c r="T24" s="30"/>
      <c r="U24" s="32">
        <f t="shared" si="21"/>
        <v>0</v>
      </c>
      <c r="V24" s="33">
        <f t="shared" si="22"/>
        <v>0</v>
      </c>
      <c r="W24" s="33">
        <f t="shared" si="23"/>
        <v>0</v>
      </c>
      <c r="X24" s="85">
        <f t="shared" si="62"/>
        <v>0</v>
      </c>
      <c r="Y24" s="33"/>
      <c r="Z24" s="33"/>
      <c r="AA24" s="33"/>
      <c r="AB24" s="33">
        <f t="shared" si="24"/>
        <v>0</v>
      </c>
      <c r="AC24" s="33">
        <f t="shared" si="25"/>
        <v>0</v>
      </c>
      <c r="AD24" s="33">
        <f t="shared" si="26"/>
        <v>0</v>
      </c>
      <c r="AE24" s="33">
        <f t="shared" si="27"/>
        <v>0</v>
      </c>
      <c r="AF24" s="33">
        <f t="shared" si="28"/>
        <v>0</v>
      </c>
      <c r="AG24" s="33">
        <f t="shared" si="29"/>
        <v>0</v>
      </c>
      <c r="AH24" s="33">
        <f t="shared" si="30"/>
        <v>0</v>
      </c>
      <c r="AI24" s="33">
        <f t="shared" si="31"/>
        <v>0</v>
      </c>
      <c r="AJ24" s="33">
        <f t="shared" si="32"/>
        <v>0</v>
      </c>
      <c r="AK24" s="33">
        <f t="shared" si="33"/>
        <v>0</v>
      </c>
      <c r="AL24" s="33">
        <f t="shared" si="34"/>
        <v>0</v>
      </c>
      <c r="AM24" s="33">
        <f t="shared" si="4"/>
        <v>0</v>
      </c>
      <c r="AN24" s="33">
        <f t="shared" si="5"/>
        <v>0</v>
      </c>
      <c r="AO24" s="33">
        <f t="shared" si="6"/>
        <v>0</v>
      </c>
      <c r="AP24" s="33">
        <f t="shared" si="7"/>
        <v>0</v>
      </c>
      <c r="AQ24" s="33">
        <f t="shared" si="35"/>
        <v>0</v>
      </c>
      <c r="AR24" s="33">
        <f t="shared" si="36"/>
        <v>0</v>
      </c>
      <c r="AS24" s="33">
        <f t="shared" si="37"/>
        <v>0</v>
      </c>
      <c r="AT24" s="33">
        <f t="shared" si="38"/>
        <v>0</v>
      </c>
      <c r="AU24" s="33">
        <f t="shared" si="39"/>
        <v>0</v>
      </c>
      <c r="AV24" s="33">
        <f t="shared" si="40"/>
        <v>0</v>
      </c>
      <c r="AW24" s="33">
        <f t="shared" si="41"/>
        <v>0</v>
      </c>
      <c r="AX24" s="33">
        <f t="shared" si="42"/>
        <v>0</v>
      </c>
      <c r="AY24" s="33">
        <f t="shared" si="43"/>
        <v>0</v>
      </c>
      <c r="AZ24" s="33">
        <f t="shared" si="44"/>
        <v>0</v>
      </c>
      <c r="BA24" s="33">
        <f t="shared" si="45"/>
        <v>0</v>
      </c>
      <c r="BB24" s="33">
        <f t="shared" si="46"/>
        <v>0</v>
      </c>
      <c r="BC24" s="33">
        <f t="shared" si="47"/>
        <v>0</v>
      </c>
      <c r="BD24" s="33">
        <f t="shared" si="48"/>
        <v>0</v>
      </c>
      <c r="BE24" s="33">
        <f t="shared" si="49"/>
        <v>0</v>
      </c>
      <c r="BF24" s="33">
        <f t="shared" si="50"/>
        <v>0</v>
      </c>
      <c r="BG24" s="33">
        <f t="shared" si="51"/>
        <v>0</v>
      </c>
      <c r="BH24" s="33">
        <f t="shared" si="52"/>
        <v>0</v>
      </c>
      <c r="BI24" s="33">
        <f t="shared" si="53"/>
        <v>0</v>
      </c>
      <c r="BJ24" s="33">
        <f t="shared" si="54"/>
        <v>0</v>
      </c>
      <c r="BK24" s="33">
        <f t="shared" si="55"/>
        <v>0</v>
      </c>
      <c r="BL24" s="50">
        <f t="shared" si="56"/>
        <v>0</v>
      </c>
      <c r="BM24" s="86" t="s">
        <v>37</v>
      </c>
      <c r="BN24" s="86" t="s">
        <v>44</v>
      </c>
      <c r="BO24" s="51" t="s">
        <v>37</v>
      </c>
      <c r="BP24" s="51" t="s">
        <v>44</v>
      </c>
      <c r="BQ24" s="52">
        <f t="shared" si="12"/>
        <v>41091</v>
      </c>
      <c r="BR24" s="52">
        <f t="shared" si="13"/>
        <v>41456</v>
      </c>
      <c r="BS24" s="53">
        <f>ROUND((1+VLOOKUP(BQ24,'Расчет инфляции'!$E$5:$F$370,2,0))*(1+'Расчет инфляции'!$B$18/12*5)-1,4)</f>
        <v>0.0725</v>
      </c>
      <c r="BT24" s="53">
        <f>ROUND((1+VLOOKUP(BR24,'Расчет инфляции'!$I$5:$J$370,2,0))*(1+'Расчет инфляции'!$B$19)*(1+'Расчет инфляции'!$B$18/12*5)-1,4)</f>
        <v>0.1484</v>
      </c>
      <c r="BU24" s="50">
        <f t="shared" si="57"/>
        <v>0</v>
      </c>
      <c r="BV24" s="50">
        <f t="shared" si="58"/>
        <v>0</v>
      </c>
      <c r="BW24" s="192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V24" s="49"/>
      <c r="CW24" s="49"/>
      <c r="CX24" s="49"/>
      <c r="CY24" s="49">
        <f t="shared" si="59"/>
        <v>0</v>
      </c>
      <c r="CZ24" s="16" t="e">
        <f t="shared" si="60"/>
        <v>#DIV/0!</v>
      </c>
      <c r="DA24" s="56" t="e">
        <f t="shared" si="14"/>
        <v>#DIV/0!</v>
      </c>
      <c r="DB24" s="57">
        <v>1</v>
      </c>
      <c r="DC24" s="54">
        <f t="shared" si="61"/>
        <v>100000</v>
      </c>
      <c r="DD24" s="54">
        <v>100000</v>
      </c>
      <c r="DE24" s="54">
        <f t="shared" si="16"/>
        <v>0</v>
      </c>
      <c r="DF24" s="54" t="b">
        <f t="shared" si="17"/>
        <v>1</v>
      </c>
    </row>
    <row r="25" spans="1:110" s="47" customFormat="1" ht="12.75">
      <c r="A25" s="6">
        <f t="shared" si="19"/>
        <v>22</v>
      </c>
      <c r="B25" s="7"/>
      <c r="C25" s="8"/>
      <c r="D25" s="9"/>
      <c r="E25" s="10">
        <v>0.01</v>
      </c>
      <c r="F25" s="11"/>
      <c r="G25" s="12"/>
      <c r="H25" s="27"/>
      <c r="I25" s="28"/>
      <c r="J25" s="21"/>
      <c r="K25" s="29"/>
      <c r="L25" s="29"/>
      <c r="M25" s="29"/>
      <c r="N25" s="29"/>
      <c r="O25" s="29"/>
      <c r="P25" s="32">
        <f t="shared" si="20"/>
        <v>0</v>
      </c>
      <c r="Q25" s="30">
        <f t="shared" si="18"/>
        <v>0</v>
      </c>
      <c r="R25" s="29"/>
      <c r="S25" s="30"/>
      <c r="T25" s="30"/>
      <c r="U25" s="32">
        <f t="shared" si="21"/>
        <v>0</v>
      </c>
      <c r="V25" s="33">
        <f t="shared" si="22"/>
        <v>0</v>
      </c>
      <c r="W25" s="33">
        <f t="shared" si="23"/>
        <v>0</v>
      </c>
      <c r="X25" s="85">
        <f t="shared" si="62"/>
        <v>0</v>
      </c>
      <c r="Y25" s="33"/>
      <c r="Z25" s="33"/>
      <c r="AA25" s="33"/>
      <c r="AB25" s="33">
        <f t="shared" si="24"/>
        <v>0</v>
      </c>
      <c r="AC25" s="33">
        <f t="shared" si="25"/>
        <v>0</v>
      </c>
      <c r="AD25" s="33">
        <f t="shared" si="26"/>
        <v>0</v>
      </c>
      <c r="AE25" s="33">
        <f t="shared" si="27"/>
        <v>0</v>
      </c>
      <c r="AF25" s="33">
        <f t="shared" si="28"/>
        <v>0</v>
      </c>
      <c r="AG25" s="33">
        <f t="shared" si="29"/>
        <v>0</v>
      </c>
      <c r="AH25" s="33">
        <f t="shared" si="30"/>
        <v>0</v>
      </c>
      <c r="AI25" s="33">
        <f t="shared" si="31"/>
        <v>0</v>
      </c>
      <c r="AJ25" s="33">
        <f t="shared" si="32"/>
        <v>0</v>
      </c>
      <c r="AK25" s="33">
        <f t="shared" si="33"/>
        <v>0</v>
      </c>
      <c r="AL25" s="33">
        <f t="shared" si="34"/>
        <v>0</v>
      </c>
      <c r="AM25" s="33">
        <f t="shared" si="4"/>
        <v>0</v>
      </c>
      <c r="AN25" s="33">
        <f t="shared" si="5"/>
        <v>0</v>
      </c>
      <c r="AO25" s="33">
        <f t="shared" si="6"/>
        <v>0</v>
      </c>
      <c r="AP25" s="33">
        <f t="shared" si="7"/>
        <v>0</v>
      </c>
      <c r="AQ25" s="33">
        <f t="shared" si="35"/>
        <v>0</v>
      </c>
      <c r="AR25" s="33">
        <f t="shared" si="36"/>
        <v>0</v>
      </c>
      <c r="AS25" s="33">
        <f t="shared" si="37"/>
        <v>0</v>
      </c>
      <c r="AT25" s="33">
        <f t="shared" si="38"/>
        <v>0</v>
      </c>
      <c r="AU25" s="33">
        <f t="shared" si="39"/>
        <v>0</v>
      </c>
      <c r="AV25" s="33">
        <f t="shared" si="40"/>
        <v>0</v>
      </c>
      <c r="AW25" s="33">
        <f t="shared" si="41"/>
        <v>0</v>
      </c>
      <c r="AX25" s="33">
        <f t="shared" si="42"/>
        <v>0</v>
      </c>
      <c r="AY25" s="33">
        <f t="shared" si="43"/>
        <v>0</v>
      </c>
      <c r="AZ25" s="33">
        <f t="shared" si="44"/>
        <v>0</v>
      </c>
      <c r="BA25" s="33">
        <f t="shared" si="45"/>
        <v>0</v>
      </c>
      <c r="BB25" s="33">
        <f t="shared" si="46"/>
        <v>0</v>
      </c>
      <c r="BC25" s="33">
        <f t="shared" si="47"/>
        <v>0</v>
      </c>
      <c r="BD25" s="33">
        <f t="shared" si="48"/>
        <v>0</v>
      </c>
      <c r="BE25" s="33">
        <f t="shared" si="49"/>
        <v>0</v>
      </c>
      <c r="BF25" s="33">
        <f t="shared" si="50"/>
        <v>0</v>
      </c>
      <c r="BG25" s="33">
        <f t="shared" si="51"/>
        <v>0</v>
      </c>
      <c r="BH25" s="33">
        <f t="shared" si="52"/>
        <v>0</v>
      </c>
      <c r="BI25" s="33">
        <f t="shared" si="53"/>
        <v>0</v>
      </c>
      <c r="BJ25" s="33">
        <f t="shared" si="54"/>
        <v>0</v>
      </c>
      <c r="BK25" s="33">
        <f t="shared" si="55"/>
        <v>0</v>
      </c>
      <c r="BL25" s="50">
        <f t="shared" si="56"/>
        <v>0</v>
      </c>
      <c r="BM25" s="86" t="s">
        <v>37</v>
      </c>
      <c r="BN25" s="86" t="s">
        <v>44</v>
      </c>
      <c r="BO25" s="51" t="s">
        <v>37</v>
      </c>
      <c r="BP25" s="51" t="s">
        <v>44</v>
      </c>
      <c r="BQ25" s="52">
        <f t="shared" si="12"/>
        <v>41091</v>
      </c>
      <c r="BR25" s="52">
        <f t="shared" si="13"/>
        <v>41456</v>
      </c>
      <c r="BS25" s="53">
        <f>ROUND((1+VLOOKUP(BQ25,'Расчет инфляции'!$E$5:$F$370,2,0))*(1+'Расчет инфляции'!$B$18/12*5)-1,4)</f>
        <v>0.0725</v>
      </c>
      <c r="BT25" s="53">
        <f>ROUND((1+VLOOKUP(BR25,'Расчет инфляции'!$I$5:$J$370,2,0))*(1+'Расчет инфляции'!$B$19)*(1+'Расчет инфляции'!$B$18/12*5)-1,4)</f>
        <v>0.1484</v>
      </c>
      <c r="BU25" s="50">
        <f t="shared" si="57"/>
        <v>0</v>
      </c>
      <c r="BV25" s="50">
        <f t="shared" si="58"/>
        <v>0</v>
      </c>
      <c r="BW25" s="192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V25" s="49"/>
      <c r="CW25" s="49"/>
      <c r="CX25" s="49"/>
      <c r="CY25" s="49">
        <f t="shared" si="59"/>
        <v>0</v>
      </c>
      <c r="CZ25" s="16" t="e">
        <f t="shared" si="60"/>
        <v>#DIV/0!</v>
      </c>
      <c r="DA25" s="56" t="e">
        <f t="shared" si="14"/>
        <v>#DIV/0!</v>
      </c>
      <c r="DB25" s="57">
        <v>1</v>
      </c>
      <c r="DC25" s="54">
        <f t="shared" si="61"/>
        <v>100000</v>
      </c>
      <c r="DD25" s="54">
        <v>100000</v>
      </c>
      <c r="DE25" s="54">
        <f t="shared" si="16"/>
        <v>0</v>
      </c>
      <c r="DF25" s="54" t="b">
        <f t="shared" si="17"/>
        <v>1</v>
      </c>
    </row>
    <row r="26" spans="1:110" s="47" customFormat="1" ht="12.75">
      <c r="A26" s="6">
        <f t="shared" si="19"/>
        <v>23</v>
      </c>
      <c r="B26" s="7"/>
      <c r="C26" s="8"/>
      <c r="D26" s="9"/>
      <c r="E26" s="10">
        <v>0.01</v>
      </c>
      <c r="F26" s="11"/>
      <c r="G26" s="12"/>
      <c r="H26" s="27"/>
      <c r="I26" s="28"/>
      <c r="J26" s="21"/>
      <c r="K26" s="29"/>
      <c r="L26" s="29"/>
      <c r="M26" s="29"/>
      <c r="N26" s="29"/>
      <c r="O26" s="29"/>
      <c r="P26" s="32">
        <f t="shared" si="20"/>
        <v>0</v>
      </c>
      <c r="Q26" s="30">
        <f t="shared" si="18"/>
        <v>0</v>
      </c>
      <c r="R26" s="29"/>
      <c r="S26" s="30"/>
      <c r="T26" s="30"/>
      <c r="U26" s="32">
        <f t="shared" si="21"/>
        <v>0</v>
      </c>
      <c r="V26" s="33">
        <f t="shared" si="22"/>
        <v>0</v>
      </c>
      <c r="W26" s="33">
        <f t="shared" si="23"/>
        <v>0</v>
      </c>
      <c r="X26" s="85">
        <f t="shared" si="62"/>
        <v>0</v>
      </c>
      <c r="Y26" s="33"/>
      <c r="Z26" s="33"/>
      <c r="AA26" s="33"/>
      <c r="AB26" s="33">
        <f t="shared" si="24"/>
        <v>0</v>
      </c>
      <c r="AC26" s="33">
        <f t="shared" si="25"/>
        <v>0</v>
      </c>
      <c r="AD26" s="33">
        <f t="shared" si="26"/>
        <v>0</v>
      </c>
      <c r="AE26" s="33">
        <f t="shared" si="27"/>
        <v>0</v>
      </c>
      <c r="AF26" s="33">
        <f t="shared" si="28"/>
        <v>0</v>
      </c>
      <c r="AG26" s="33">
        <f t="shared" si="29"/>
        <v>0</v>
      </c>
      <c r="AH26" s="33">
        <f t="shared" si="30"/>
        <v>0</v>
      </c>
      <c r="AI26" s="33">
        <f t="shared" si="31"/>
        <v>0</v>
      </c>
      <c r="AJ26" s="33">
        <f t="shared" si="32"/>
        <v>0</v>
      </c>
      <c r="AK26" s="33">
        <f t="shared" si="33"/>
        <v>0</v>
      </c>
      <c r="AL26" s="33">
        <f t="shared" si="34"/>
        <v>0</v>
      </c>
      <c r="AM26" s="33">
        <f t="shared" si="4"/>
        <v>0</v>
      </c>
      <c r="AN26" s="33">
        <f t="shared" si="5"/>
        <v>0</v>
      </c>
      <c r="AO26" s="33">
        <f t="shared" si="6"/>
        <v>0</v>
      </c>
      <c r="AP26" s="33">
        <f t="shared" si="7"/>
        <v>0</v>
      </c>
      <c r="AQ26" s="33">
        <f t="shared" si="35"/>
        <v>0</v>
      </c>
      <c r="AR26" s="33">
        <f t="shared" si="36"/>
        <v>0</v>
      </c>
      <c r="AS26" s="33">
        <f t="shared" si="37"/>
        <v>0</v>
      </c>
      <c r="AT26" s="33">
        <f t="shared" si="38"/>
        <v>0</v>
      </c>
      <c r="AU26" s="33">
        <f t="shared" si="39"/>
        <v>0</v>
      </c>
      <c r="AV26" s="33">
        <f t="shared" si="40"/>
        <v>0</v>
      </c>
      <c r="AW26" s="33">
        <f t="shared" si="41"/>
        <v>0</v>
      </c>
      <c r="AX26" s="33">
        <f t="shared" si="42"/>
        <v>0</v>
      </c>
      <c r="AY26" s="33">
        <f t="shared" si="43"/>
        <v>0</v>
      </c>
      <c r="AZ26" s="33">
        <f t="shared" si="44"/>
        <v>0</v>
      </c>
      <c r="BA26" s="33">
        <f t="shared" si="45"/>
        <v>0</v>
      </c>
      <c r="BB26" s="33">
        <f t="shared" si="46"/>
        <v>0</v>
      </c>
      <c r="BC26" s="33">
        <f t="shared" si="47"/>
        <v>0</v>
      </c>
      <c r="BD26" s="33">
        <f t="shared" si="48"/>
        <v>0</v>
      </c>
      <c r="BE26" s="33">
        <f t="shared" si="49"/>
        <v>0</v>
      </c>
      <c r="BF26" s="33">
        <f t="shared" si="50"/>
        <v>0</v>
      </c>
      <c r="BG26" s="33">
        <f t="shared" si="51"/>
        <v>0</v>
      </c>
      <c r="BH26" s="33">
        <f t="shared" si="52"/>
        <v>0</v>
      </c>
      <c r="BI26" s="33">
        <f t="shared" si="53"/>
        <v>0</v>
      </c>
      <c r="BJ26" s="33">
        <f t="shared" si="54"/>
        <v>0</v>
      </c>
      <c r="BK26" s="33">
        <f t="shared" si="55"/>
        <v>0</v>
      </c>
      <c r="BL26" s="50">
        <f t="shared" si="56"/>
        <v>0</v>
      </c>
      <c r="BM26" s="86" t="s">
        <v>37</v>
      </c>
      <c r="BN26" s="86" t="s">
        <v>44</v>
      </c>
      <c r="BO26" s="51" t="s">
        <v>37</v>
      </c>
      <c r="BP26" s="51" t="s">
        <v>44</v>
      </c>
      <c r="BQ26" s="52">
        <f t="shared" si="12"/>
        <v>41091</v>
      </c>
      <c r="BR26" s="52">
        <f t="shared" si="13"/>
        <v>41456</v>
      </c>
      <c r="BS26" s="53">
        <f>ROUND((1+VLOOKUP(BQ26,'Расчет инфляции'!$E$5:$F$370,2,0))*(1+'Расчет инфляции'!$B$18/12*5)-1,4)</f>
        <v>0.0725</v>
      </c>
      <c r="BT26" s="53">
        <f>ROUND((1+VLOOKUP(BR26,'Расчет инфляции'!$I$5:$J$370,2,0))*(1+'Расчет инфляции'!$B$19)*(1+'Расчет инфляции'!$B$18/12*5)-1,4)</f>
        <v>0.1484</v>
      </c>
      <c r="BU26" s="50">
        <f t="shared" si="57"/>
        <v>0</v>
      </c>
      <c r="BV26" s="50">
        <f t="shared" si="58"/>
        <v>0</v>
      </c>
      <c r="BW26" s="192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V26" s="49"/>
      <c r="CW26" s="49"/>
      <c r="CX26" s="49"/>
      <c r="CY26" s="49">
        <f t="shared" si="59"/>
        <v>0</v>
      </c>
      <c r="CZ26" s="16" t="e">
        <f t="shared" si="60"/>
        <v>#DIV/0!</v>
      </c>
      <c r="DA26" s="56" t="e">
        <f t="shared" si="14"/>
        <v>#DIV/0!</v>
      </c>
      <c r="DB26" s="57">
        <v>1</v>
      </c>
      <c r="DC26" s="54">
        <f t="shared" si="61"/>
        <v>100000</v>
      </c>
      <c r="DD26" s="54">
        <v>100000</v>
      </c>
      <c r="DE26" s="54">
        <f t="shared" si="16"/>
        <v>0</v>
      </c>
      <c r="DF26" s="54" t="b">
        <f t="shared" si="17"/>
        <v>1</v>
      </c>
    </row>
    <row r="27" spans="1:110" s="47" customFormat="1" ht="12.75">
      <c r="A27" s="6">
        <f aca="true" t="shared" si="63" ref="A27:A33">A26+1</f>
        <v>24</v>
      </c>
      <c r="B27" s="7"/>
      <c r="C27" s="8"/>
      <c r="D27" s="9"/>
      <c r="E27" s="10">
        <v>0.01</v>
      </c>
      <c r="F27" s="11"/>
      <c r="G27" s="12"/>
      <c r="H27" s="27"/>
      <c r="I27" s="28"/>
      <c r="J27" s="21"/>
      <c r="K27" s="29"/>
      <c r="L27" s="29"/>
      <c r="M27" s="29"/>
      <c r="N27" s="29"/>
      <c r="O27" s="29"/>
      <c r="P27" s="32">
        <f aca="true" t="shared" si="64" ref="P27:P32">SUM(K27:O27)</f>
        <v>0</v>
      </c>
      <c r="Q27" s="30">
        <f t="shared" si="18"/>
        <v>0</v>
      </c>
      <c r="R27" s="29"/>
      <c r="S27" s="30"/>
      <c r="T27" s="30"/>
      <c r="U27" s="32">
        <f aca="true" t="shared" si="65" ref="U27:U32">SUM(Q27:T27)</f>
        <v>0</v>
      </c>
      <c r="V27" s="33">
        <f aca="true" t="shared" si="66" ref="V27:V32">ROUND($D27*Q27,0)</f>
        <v>0</v>
      </c>
      <c r="W27" s="33">
        <f aca="true" t="shared" si="67" ref="W27:W32">ROUND($D27*R27,0)</f>
        <v>0</v>
      </c>
      <c r="X27" s="85">
        <f aca="true" t="shared" si="68" ref="X27:X32">ROUND($E27*SUM(Q27:R27,V27:W27),0)</f>
        <v>0</v>
      </c>
      <c r="Y27" s="33"/>
      <c r="Z27" s="33"/>
      <c r="AA27" s="33"/>
      <c r="AB27" s="33">
        <f aca="true" t="shared" si="69" ref="AB27:AB32">ROUND(F27*SUM(U27:W27),0)</f>
        <v>0</v>
      </c>
      <c r="AC27" s="33">
        <f aca="true" t="shared" si="70" ref="AC27:AC32">ROUND(AG$1*SUM(Q27,V27,Y27),0)</f>
        <v>0</v>
      </c>
      <c r="AD27" s="33">
        <f aca="true" t="shared" si="71" ref="AD27:AD32">ROUND(AG$1*SUM(R27,W27,Z27),0)</f>
        <v>0</v>
      </c>
      <c r="AE27" s="33">
        <f aca="true" t="shared" si="72" ref="AE27:AE32">ROUND(AG$1*S27,0)</f>
        <v>0</v>
      </c>
      <c r="AF27" s="33">
        <f aca="true" t="shared" si="73" ref="AF27:AF32">ROUND(AG$1*SUM(T27,X27,AA27:AB27),0)</f>
        <v>0</v>
      </c>
      <c r="AG27" s="33">
        <f aca="true" t="shared" si="74" ref="AG27:AG32">ROUND(SUM(AC27:AF27),0)</f>
        <v>0</v>
      </c>
      <c r="AH27" s="33">
        <f aca="true" t="shared" si="75" ref="AH27:AH32">Q27+V27+Y27+AC27</f>
        <v>0</v>
      </c>
      <c r="AI27" s="33">
        <f aca="true" t="shared" si="76" ref="AI27:AI32">R27+W27+Z27+AD27</f>
        <v>0</v>
      </c>
      <c r="AJ27" s="33">
        <f aca="true" t="shared" si="77" ref="AJ27:AJ32">S27+AE27</f>
        <v>0</v>
      </c>
      <c r="AK27" s="33">
        <f aca="true" t="shared" si="78" ref="AK27:AK32">T27+X27+AA27+AB27+AF27</f>
        <v>0</v>
      </c>
      <c r="AL27" s="33">
        <f aca="true" t="shared" si="79" ref="AL27:AL32">SUM(AH27:AK27)</f>
        <v>0</v>
      </c>
      <c r="AM27" s="33">
        <f t="shared" si="4"/>
        <v>0</v>
      </c>
      <c r="AN27" s="33">
        <f t="shared" si="5"/>
        <v>0</v>
      </c>
      <c r="AO27" s="33">
        <f t="shared" si="6"/>
        <v>0</v>
      </c>
      <c r="AP27" s="33">
        <f t="shared" si="7"/>
        <v>0</v>
      </c>
      <c r="AQ27" s="33">
        <f aca="true" t="shared" si="80" ref="AQ27:AQ32">SUM(AM27:AP27)</f>
        <v>0</v>
      </c>
      <c r="AR27" s="33">
        <f aca="true" t="shared" si="81" ref="AR27:AR32">ROUND($BS27*AM27,0)</f>
        <v>0</v>
      </c>
      <c r="AS27" s="33">
        <f aca="true" t="shared" si="82" ref="AS27:AS32">ROUND($BS27*AN27,0)</f>
        <v>0</v>
      </c>
      <c r="AT27" s="33">
        <f aca="true" t="shared" si="83" ref="AT27:AT32">ROUND($BS27*AO27,0)</f>
        <v>0</v>
      </c>
      <c r="AU27" s="33">
        <f aca="true" t="shared" si="84" ref="AU27:AU32">ROUND($BS27*AP27,0)</f>
        <v>0</v>
      </c>
      <c r="AV27" s="33">
        <f aca="true" t="shared" si="85" ref="AV27:AV32">SUM(AR27:AU27)</f>
        <v>0</v>
      </c>
      <c r="AW27" s="33">
        <f aca="true" t="shared" si="86" ref="AW27:AW32">ROUND(18%*SUM(AM27,AR27),0)</f>
        <v>0</v>
      </c>
      <c r="AX27" s="33">
        <f aca="true" t="shared" si="87" ref="AX27:AX32">ROUND(18%*SUM(AN27,AS27),0)</f>
        <v>0</v>
      </c>
      <c r="AY27" s="33">
        <f aca="true" t="shared" si="88" ref="AY27:AY32">ROUND(18%*SUM(AO27,AT27),0)</f>
        <v>0</v>
      </c>
      <c r="AZ27" s="33">
        <f aca="true" t="shared" si="89" ref="AZ27:AZ32">ROUND(18%*SUM(AP27,AU27),0)</f>
        <v>0</v>
      </c>
      <c r="BA27" s="33">
        <f aca="true" t="shared" si="90" ref="BA27:BA32">SUM(AW27:AZ27)</f>
        <v>0</v>
      </c>
      <c r="BB27" s="33">
        <f aca="true" t="shared" si="91" ref="BB27:BB32">ROUND($BT27*(AH27-AM27),0)</f>
        <v>0</v>
      </c>
      <c r="BC27" s="33">
        <f aca="true" t="shared" si="92" ref="BC27:BC32">ROUND($BT27*(AI27-AN27),0)</f>
        <v>0</v>
      </c>
      <c r="BD27" s="33">
        <f aca="true" t="shared" si="93" ref="BD27:BD32">ROUND($BT27*(AJ27-AO27),0)</f>
        <v>0</v>
      </c>
      <c r="BE27" s="33">
        <f aca="true" t="shared" si="94" ref="BE27:BE32">ROUND($BT27*(AK27-AP27),0)</f>
        <v>0</v>
      </c>
      <c r="BF27" s="33">
        <f aca="true" t="shared" si="95" ref="BF27:BF32">SUM(BB27:BE27)</f>
        <v>0</v>
      </c>
      <c r="BG27" s="33">
        <f aca="true" t="shared" si="96" ref="BG27:BG32">ROUND(18%*(AH27-AM27+BB27),0)</f>
        <v>0</v>
      </c>
      <c r="BH27" s="33">
        <f aca="true" t="shared" si="97" ref="BH27:BH32">ROUND(18%*(AI27-AN27+BC27),0)</f>
        <v>0</v>
      </c>
      <c r="BI27" s="33">
        <f aca="true" t="shared" si="98" ref="BI27:BI32">ROUND(18%*(AJ27-AO27+BD27),0)</f>
        <v>0</v>
      </c>
      <c r="BJ27" s="33">
        <f aca="true" t="shared" si="99" ref="BJ27:BJ32">ROUND(18%*(AK27-AP27+BE27),0)</f>
        <v>0</v>
      </c>
      <c r="BK27" s="33">
        <f aca="true" t="shared" si="100" ref="BK27:BK32">SUM(BG27:BJ27)</f>
        <v>0</v>
      </c>
      <c r="BL27" s="50">
        <f aca="true" t="shared" si="101" ref="BL27:BL32">SUM(AL27,AV27,BA27,BF27,BK27)</f>
        <v>0</v>
      </c>
      <c r="BM27" s="86" t="s">
        <v>37</v>
      </c>
      <c r="BN27" s="86" t="s">
        <v>44</v>
      </c>
      <c r="BO27" s="51" t="s">
        <v>37</v>
      </c>
      <c r="BP27" s="51" t="s">
        <v>44</v>
      </c>
      <c r="BQ27" s="52">
        <f t="shared" si="12"/>
        <v>41091</v>
      </c>
      <c r="BR27" s="52">
        <f t="shared" si="13"/>
        <v>41456</v>
      </c>
      <c r="BS27" s="53">
        <f>ROUND((1+VLOOKUP(BQ27,'Расчет инфляции'!$E$5:$F$370,2,0))*(1+'Расчет инфляции'!$B$18/12*5)-1,4)</f>
        <v>0.0725</v>
      </c>
      <c r="BT27" s="53">
        <f>ROUND((1+VLOOKUP(BR27,'Расчет инфляции'!$I$5:$J$370,2,0))*(1+'Расчет инфляции'!$B$19)*(1+'Расчет инфляции'!$B$18/12*5)-1,4)</f>
        <v>0.1484</v>
      </c>
      <c r="BU27" s="50">
        <f aca="true" t="shared" si="102" ref="BU27:BU32">AQ27+AV27+BA27</f>
        <v>0</v>
      </c>
      <c r="BV27" s="50">
        <f aca="true" t="shared" si="103" ref="BV27:BV32">AL27-AQ27+BF27+BK27</f>
        <v>0</v>
      </c>
      <c r="BW27" s="192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V27" s="49"/>
      <c r="CW27" s="49"/>
      <c r="CX27" s="49"/>
      <c r="CY27" s="49">
        <f aca="true" t="shared" si="104" ref="CY27:CY32">T27</f>
        <v>0</v>
      </c>
      <c r="CZ27" s="16" t="e">
        <f aca="true" t="shared" si="105" ref="CZ27:CZ32">ROUND(X27/SUM(Q27:R27,V27:W27),3)=E27</f>
        <v>#DIV/0!</v>
      </c>
      <c r="DA27" s="56" t="e">
        <f t="shared" si="14"/>
        <v>#DIV/0!</v>
      </c>
      <c r="DB27" s="57">
        <v>1</v>
      </c>
      <c r="DC27" s="54">
        <f aca="true" t="shared" si="106" ref="DC27:DC32">DB27*DD27</f>
        <v>100000</v>
      </c>
      <c r="DD27" s="54">
        <v>100000</v>
      </c>
      <c r="DE27" s="54">
        <f t="shared" si="16"/>
        <v>0</v>
      </c>
      <c r="DF27" s="54" t="b">
        <f t="shared" si="17"/>
        <v>1</v>
      </c>
    </row>
    <row r="28" spans="1:110" s="47" customFormat="1" ht="12.75">
      <c r="A28" s="6">
        <f t="shared" si="63"/>
        <v>25</v>
      </c>
      <c r="B28" s="7"/>
      <c r="C28" s="8"/>
      <c r="D28" s="9"/>
      <c r="E28" s="10">
        <v>0.01</v>
      </c>
      <c r="F28" s="11"/>
      <c r="G28" s="12"/>
      <c r="H28" s="27"/>
      <c r="I28" s="28"/>
      <c r="J28" s="21"/>
      <c r="K28" s="29"/>
      <c r="L28" s="29"/>
      <c r="M28" s="29"/>
      <c r="N28" s="29"/>
      <c r="O28" s="29"/>
      <c r="P28" s="32">
        <f t="shared" si="64"/>
        <v>0</v>
      </c>
      <c r="Q28" s="30">
        <f t="shared" si="18"/>
        <v>0</v>
      </c>
      <c r="R28" s="29"/>
      <c r="S28" s="30"/>
      <c r="T28" s="30"/>
      <c r="U28" s="32">
        <f t="shared" si="65"/>
        <v>0</v>
      </c>
      <c r="V28" s="33">
        <f t="shared" si="66"/>
        <v>0</v>
      </c>
      <c r="W28" s="33">
        <f t="shared" si="67"/>
        <v>0</v>
      </c>
      <c r="X28" s="85">
        <f t="shared" si="68"/>
        <v>0</v>
      </c>
      <c r="Y28" s="33"/>
      <c r="Z28" s="33"/>
      <c r="AA28" s="33"/>
      <c r="AB28" s="33">
        <f t="shared" si="69"/>
        <v>0</v>
      </c>
      <c r="AC28" s="33">
        <f t="shared" si="70"/>
        <v>0</v>
      </c>
      <c r="AD28" s="33">
        <f t="shared" si="71"/>
        <v>0</v>
      </c>
      <c r="AE28" s="33">
        <f t="shared" si="72"/>
        <v>0</v>
      </c>
      <c r="AF28" s="33">
        <f t="shared" si="73"/>
        <v>0</v>
      </c>
      <c r="AG28" s="33">
        <f t="shared" si="74"/>
        <v>0</v>
      </c>
      <c r="AH28" s="33">
        <f t="shared" si="75"/>
        <v>0</v>
      </c>
      <c r="AI28" s="33">
        <f t="shared" si="76"/>
        <v>0</v>
      </c>
      <c r="AJ28" s="33">
        <f t="shared" si="77"/>
        <v>0</v>
      </c>
      <c r="AK28" s="33">
        <f t="shared" si="78"/>
        <v>0</v>
      </c>
      <c r="AL28" s="33">
        <f t="shared" si="79"/>
        <v>0</v>
      </c>
      <c r="AM28" s="33">
        <f t="shared" si="4"/>
        <v>0</v>
      </c>
      <c r="AN28" s="33">
        <f t="shared" si="5"/>
        <v>0</v>
      </c>
      <c r="AO28" s="33">
        <f t="shared" si="6"/>
        <v>0</v>
      </c>
      <c r="AP28" s="33">
        <f t="shared" si="7"/>
        <v>0</v>
      </c>
      <c r="AQ28" s="33">
        <f t="shared" si="80"/>
        <v>0</v>
      </c>
      <c r="AR28" s="33">
        <f t="shared" si="81"/>
        <v>0</v>
      </c>
      <c r="AS28" s="33">
        <f t="shared" si="82"/>
        <v>0</v>
      </c>
      <c r="AT28" s="33">
        <f t="shared" si="83"/>
        <v>0</v>
      </c>
      <c r="AU28" s="33">
        <f t="shared" si="84"/>
        <v>0</v>
      </c>
      <c r="AV28" s="33">
        <f t="shared" si="85"/>
        <v>0</v>
      </c>
      <c r="AW28" s="33">
        <f t="shared" si="86"/>
        <v>0</v>
      </c>
      <c r="AX28" s="33">
        <f t="shared" si="87"/>
        <v>0</v>
      </c>
      <c r="AY28" s="33">
        <f t="shared" si="88"/>
        <v>0</v>
      </c>
      <c r="AZ28" s="33">
        <f t="shared" si="89"/>
        <v>0</v>
      </c>
      <c r="BA28" s="33">
        <f t="shared" si="90"/>
        <v>0</v>
      </c>
      <c r="BB28" s="33">
        <f t="shared" si="91"/>
        <v>0</v>
      </c>
      <c r="BC28" s="33">
        <f t="shared" si="92"/>
        <v>0</v>
      </c>
      <c r="BD28" s="33">
        <f t="shared" si="93"/>
        <v>0</v>
      </c>
      <c r="BE28" s="33">
        <f t="shared" si="94"/>
        <v>0</v>
      </c>
      <c r="BF28" s="33">
        <f t="shared" si="95"/>
        <v>0</v>
      </c>
      <c r="BG28" s="33">
        <f t="shared" si="96"/>
        <v>0</v>
      </c>
      <c r="BH28" s="33">
        <f t="shared" si="97"/>
        <v>0</v>
      </c>
      <c r="BI28" s="33">
        <f t="shared" si="98"/>
        <v>0</v>
      </c>
      <c r="BJ28" s="33">
        <f t="shared" si="99"/>
        <v>0</v>
      </c>
      <c r="BK28" s="33">
        <f t="shared" si="100"/>
        <v>0</v>
      </c>
      <c r="BL28" s="50">
        <f t="shared" si="101"/>
        <v>0</v>
      </c>
      <c r="BM28" s="86" t="s">
        <v>37</v>
      </c>
      <c r="BN28" s="86" t="s">
        <v>44</v>
      </c>
      <c r="BO28" s="51" t="s">
        <v>37</v>
      </c>
      <c r="BP28" s="51" t="s">
        <v>44</v>
      </c>
      <c r="BQ28" s="52">
        <f t="shared" si="12"/>
        <v>41091</v>
      </c>
      <c r="BR28" s="52">
        <f t="shared" si="13"/>
        <v>41456</v>
      </c>
      <c r="BS28" s="53">
        <f>ROUND((1+VLOOKUP(BQ28,'Расчет инфляции'!$E$5:$F$370,2,0))*(1+'Расчет инфляции'!$B$18/12*5)-1,4)</f>
        <v>0.0725</v>
      </c>
      <c r="BT28" s="53">
        <f>ROUND((1+VLOOKUP(BR28,'Расчет инфляции'!$I$5:$J$370,2,0))*(1+'Расчет инфляции'!$B$19)*(1+'Расчет инфляции'!$B$18/12*5)-1,4)</f>
        <v>0.1484</v>
      </c>
      <c r="BU28" s="50">
        <f t="shared" si="102"/>
        <v>0</v>
      </c>
      <c r="BV28" s="50">
        <f t="shared" si="103"/>
        <v>0</v>
      </c>
      <c r="BW28" s="192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V28" s="49"/>
      <c r="CW28" s="49"/>
      <c r="CX28" s="49"/>
      <c r="CY28" s="49">
        <f t="shared" si="104"/>
        <v>0</v>
      </c>
      <c r="CZ28" s="16" t="e">
        <f t="shared" si="105"/>
        <v>#DIV/0!</v>
      </c>
      <c r="DA28" s="56" t="e">
        <f t="shared" si="14"/>
        <v>#DIV/0!</v>
      </c>
      <c r="DB28" s="57">
        <v>1</v>
      </c>
      <c r="DC28" s="54">
        <f t="shared" si="106"/>
        <v>100000</v>
      </c>
      <c r="DD28" s="54">
        <v>100000</v>
      </c>
      <c r="DE28" s="54">
        <f t="shared" si="16"/>
        <v>0</v>
      </c>
      <c r="DF28" s="54" t="b">
        <f t="shared" si="17"/>
        <v>1</v>
      </c>
    </row>
    <row r="29" spans="1:110" s="47" customFormat="1" ht="12.75">
      <c r="A29" s="6">
        <f t="shared" si="63"/>
        <v>26</v>
      </c>
      <c r="B29" s="7"/>
      <c r="C29" s="8"/>
      <c r="D29" s="9"/>
      <c r="E29" s="10">
        <v>0.01</v>
      </c>
      <c r="F29" s="11"/>
      <c r="G29" s="12"/>
      <c r="H29" s="27"/>
      <c r="I29" s="28"/>
      <c r="J29" s="21"/>
      <c r="K29" s="29"/>
      <c r="L29" s="29"/>
      <c r="M29" s="29"/>
      <c r="N29" s="29"/>
      <c r="O29" s="29"/>
      <c r="P29" s="32">
        <f t="shared" si="64"/>
        <v>0</v>
      </c>
      <c r="Q29" s="30">
        <f t="shared" si="18"/>
        <v>0</v>
      </c>
      <c r="R29" s="29"/>
      <c r="S29" s="30"/>
      <c r="T29" s="30"/>
      <c r="U29" s="32">
        <f t="shared" si="65"/>
        <v>0</v>
      </c>
      <c r="V29" s="33">
        <f t="shared" si="66"/>
        <v>0</v>
      </c>
      <c r="W29" s="33">
        <f t="shared" si="67"/>
        <v>0</v>
      </c>
      <c r="X29" s="85">
        <f t="shared" si="68"/>
        <v>0</v>
      </c>
      <c r="Y29" s="33"/>
      <c r="Z29" s="33"/>
      <c r="AA29" s="33"/>
      <c r="AB29" s="33">
        <f t="shared" si="69"/>
        <v>0</v>
      </c>
      <c r="AC29" s="33">
        <f t="shared" si="70"/>
        <v>0</v>
      </c>
      <c r="AD29" s="33">
        <f t="shared" si="71"/>
        <v>0</v>
      </c>
      <c r="AE29" s="33">
        <f t="shared" si="72"/>
        <v>0</v>
      </c>
      <c r="AF29" s="33">
        <f t="shared" si="73"/>
        <v>0</v>
      </c>
      <c r="AG29" s="33">
        <f t="shared" si="74"/>
        <v>0</v>
      </c>
      <c r="AH29" s="33">
        <f t="shared" si="75"/>
        <v>0</v>
      </c>
      <c r="AI29" s="33">
        <f t="shared" si="76"/>
        <v>0</v>
      </c>
      <c r="AJ29" s="33">
        <f t="shared" si="77"/>
        <v>0</v>
      </c>
      <c r="AK29" s="33">
        <f t="shared" si="78"/>
        <v>0</v>
      </c>
      <c r="AL29" s="33">
        <f t="shared" si="79"/>
        <v>0</v>
      </c>
      <c r="AM29" s="33">
        <f t="shared" si="4"/>
        <v>0</v>
      </c>
      <c r="AN29" s="33">
        <f t="shared" si="5"/>
        <v>0</v>
      </c>
      <c r="AO29" s="33">
        <f t="shared" si="6"/>
        <v>0</v>
      </c>
      <c r="AP29" s="33">
        <f t="shared" si="7"/>
        <v>0</v>
      </c>
      <c r="AQ29" s="33">
        <f t="shared" si="80"/>
        <v>0</v>
      </c>
      <c r="AR29" s="33">
        <f t="shared" si="81"/>
        <v>0</v>
      </c>
      <c r="AS29" s="33">
        <f t="shared" si="82"/>
        <v>0</v>
      </c>
      <c r="AT29" s="33">
        <f t="shared" si="83"/>
        <v>0</v>
      </c>
      <c r="AU29" s="33">
        <f t="shared" si="84"/>
        <v>0</v>
      </c>
      <c r="AV29" s="33">
        <f t="shared" si="85"/>
        <v>0</v>
      </c>
      <c r="AW29" s="33">
        <f t="shared" si="86"/>
        <v>0</v>
      </c>
      <c r="AX29" s="33">
        <f t="shared" si="87"/>
        <v>0</v>
      </c>
      <c r="AY29" s="33">
        <f t="shared" si="88"/>
        <v>0</v>
      </c>
      <c r="AZ29" s="33">
        <f t="shared" si="89"/>
        <v>0</v>
      </c>
      <c r="BA29" s="33">
        <f t="shared" si="90"/>
        <v>0</v>
      </c>
      <c r="BB29" s="33">
        <f t="shared" si="91"/>
        <v>0</v>
      </c>
      <c r="BC29" s="33">
        <f t="shared" si="92"/>
        <v>0</v>
      </c>
      <c r="BD29" s="33">
        <f t="shared" si="93"/>
        <v>0</v>
      </c>
      <c r="BE29" s="33">
        <f t="shared" si="94"/>
        <v>0</v>
      </c>
      <c r="BF29" s="33">
        <f t="shared" si="95"/>
        <v>0</v>
      </c>
      <c r="BG29" s="33">
        <f t="shared" si="96"/>
        <v>0</v>
      </c>
      <c r="BH29" s="33">
        <f t="shared" si="97"/>
        <v>0</v>
      </c>
      <c r="BI29" s="33">
        <f t="shared" si="98"/>
        <v>0</v>
      </c>
      <c r="BJ29" s="33">
        <f t="shared" si="99"/>
        <v>0</v>
      </c>
      <c r="BK29" s="33">
        <f t="shared" si="100"/>
        <v>0</v>
      </c>
      <c r="BL29" s="50">
        <f t="shared" si="101"/>
        <v>0</v>
      </c>
      <c r="BM29" s="86" t="s">
        <v>37</v>
      </c>
      <c r="BN29" s="86" t="s">
        <v>44</v>
      </c>
      <c r="BO29" s="51" t="s">
        <v>37</v>
      </c>
      <c r="BP29" s="51" t="s">
        <v>44</v>
      </c>
      <c r="BQ29" s="52">
        <f t="shared" si="12"/>
        <v>41091</v>
      </c>
      <c r="BR29" s="52">
        <f t="shared" si="13"/>
        <v>41456</v>
      </c>
      <c r="BS29" s="53">
        <f>ROUND((1+VLOOKUP(BQ29,'Расчет инфляции'!$E$5:$F$370,2,0))*(1+'Расчет инфляции'!$B$18/12*5)-1,4)</f>
        <v>0.0725</v>
      </c>
      <c r="BT29" s="53">
        <f>ROUND((1+VLOOKUP(BR29,'Расчет инфляции'!$I$5:$J$370,2,0))*(1+'Расчет инфляции'!$B$19)*(1+'Расчет инфляции'!$B$18/12*5)-1,4)</f>
        <v>0.1484</v>
      </c>
      <c r="BU29" s="50">
        <f t="shared" si="102"/>
        <v>0</v>
      </c>
      <c r="BV29" s="50">
        <f t="shared" si="103"/>
        <v>0</v>
      </c>
      <c r="BW29" s="192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V29" s="49"/>
      <c r="CW29" s="49"/>
      <c r="CX29" s="49"/>
      <c r="CY29" s="49">
        <f t="shared" si="104"/>
        <v>0</v>
      </c>
      <c r="CZ29" s="16" t="e">
        <f t="shared" si="105"/>
        <v>#DIV/0!</v>
      </c>
      <c r="DA29" s="56" t="e">
        <f t="shared" si="14"/>
        <v>#DIV/0!</v>
      </c>
      <c r="DB29" s="57">
        <v>1</v>
      </c>
      <c r="DC29" s="54">
        <f t="shared" si="106"/>
        <v>100000</v>
      </c>
      <c r="DD29" s="54">
        <v>100000</v>
      </c>
      <c r="DE29" s="54">
        <f t="shared" si="16"/>
        <v>0</v>
      </c>
      <c r="DF29" s="54" t="b">
        <f t="shared" si="17"/>
        <v>1</v>
      </c>
    </row>
    <row r="30" spans="1:110" s="47" customFormat="1" ht="12.75">
      <c r="A30" s="6">
        <f t="shared" si="63"/>
        <v>27</v>
      </c>
      <c r="B30" s="7"/>
      <c r="C30" s="8"/>
      <c r="D30" s="9"/>
      <c r="E30" s="10">
        <v>0.01</v>
      </c>
      <c r="F30" s="11"/>
      <c r="G30" s="12"/>
      <c r="H30" s="27"/>
      <c r="I30" s="28"/>
      <c r="J30" s="21"/>
      <c r="K30" s="29"/>
      <c r="L30" s="29"/>
      <c r="M30" s="29"/>
      <c r="N30" s="29"/>
      <c r="O30" s="29"/>
      <c r="P30" s="32">
        <f t="shared" si="64"/>
        <v>0</v>
      </c>
      <c r="Q30" s="30">
        <f t="shared" si="18"/>
        <v>0</v>
      </c>
      <c r="R30" s="29"/>
      <c r="S30" s="30"/>
      <c r="T30" s="30"/>
      <c r="U30" s="32">
        <f t="shared" si="65"/>
        <v>0</v>
      </c>
      <c r="V30" s="33">
        <f t="shared" si="66"/>
        <v>0</v>
      </c>
      <c r="W30" s="33">
        <f t="shared" si="67"/>
        <v>0</v>
      </c>
      <c r="X30" s="85">
        <f t="shared" si="68"/>
        <v>0</v>
      </c>
      <c r="Y30" s="33"/>
      <c r="Z30" s="33"/>
      <c r="AA30" s="33"/>
      <c r="AB30" s="33">
        <f t="shared" si="69"/>
        <v>0</v>
      </c>
      <c r="AC30" s="33">
        <f t="shared" si="70"/>
        <v>0</v>
      </c>
      <c r="AD30" s="33">
        <f t="shared" si="71"/>
        <v>0</v>
      </c>
      <c r="AE30" s="33">
        <f t="shared" si="72"/>
        <v>0</v>
      </c>
      <c r="AF30" s="33">
        <f t="shared" si="73"/>
        <v>0</v>
      </c>
      <c r="AG30" s="33">
        <f t="shared" si="74"/>
        <v>0</v>
      </c>
      <c r="AH30" s="33">
        <f t="shared" si="75"/>
        <v>0</v>
      </c>
      <c r="AI30" s="33">
        <f t="shared" si="76"/>
        <v>0</v>
      </c>
      <c r="AJ30" s="33">
        <f t="shared" si="77"/>
        <v>0</v>
      </c>
      <c r="AK30" s="33">
        <f t="shared" si="78"/>
        <v>0</v>
      </c>
      <c r="AL30" s="33">
        <f t="shared" si="79"/>
        <v>0</v>
      </c>
      <c r="AM30" s="33">
        <f t="shared" si="4"/>
        <v>0</v>
      </c>
      <c r="AN30" s="33">
        <f t="shared" si="5"/>
        <v>0</v>
      </c>
      <c r="AO30" s="33">
        <f t="shared" si="6"/>
        <v>0</v>
      </c>
      <c r="AP30" s="33">
        <f t="shared" si="7"/>
        <v>0</v>
      </c>
      <c r="AQ30" s="33">
        <f t="shared" si="80"/>
        <v>0</v>
      </c>
      <c r="AR30" s="33">
        <f t="shared" si="81"/>
        <v>0</v>
      </c>
      <c r="AS30" s="33">
        <f t="shared" si="82"/>
        <v>0</v>
      </c>
      <c r="AT30" s="33">
        <f t="shared" si="83"/>
        <v>0</v>
      </c>
      <c r="AU30" s="33">
        <f t="shared" si="84"/>
        <v>0</v>
      </c>
      <c r="AV30" s="33">
        <f t="shared" si="85"/>
        <v>0</v>
      </c>
      <c r="AW30" s="33">
        <f t="shared" si="86"/>
        <v>0</v>
      </c>
      <c r="AX30" s="33">
        <f t="shared" si="87"/>
        <v>0</v>
      </c>
      <c r="AY30" s="33">
        <f t="shared" si="88"/>
        <v>0</v>
      </c>
      <c r="AZ30" s="33">
        <f t="shared" si="89"/>
        <v>0</v>
      </c>
      <c r="BA30" s="33">
        <f t="shared" si="90"/>
        <v>0</v>
      </c>
      <c r="BB30" s="33">
        <f t="shared" si="91"/>
        <v>0</v>
      </c>
      <c r="BC30" s="33">
        <f t="shared" si="92"/>
        <v>0</v>
      </c>
      <c r="BD30" s="33">
        <f t="shared" si="93"/>
        <v>0</v>
      </c>
      <c r="BE30" s="33">
        <f t="shared" si="94"/>
        <v>0</v>
      </c>
      <c r="BF30" s="33">
        <f t="shared" si="95"/>
        <v>0</v>
      </c>
      <c r="BG30" s="33">
        <f t="shared" si="96"/>
        <v>0</v>
      </c>
      <c r="BH30" s="33">
        <f t="shared" si="97"/>
        <v>0</v>
      </c>
      <c r="BI30" s="33">
        <f t="shared" si="98"/>
        <v>0</v>
      </c>
      <c r="BJ30" s="33">
        <f t="shared" si="99"/>
        <v>0</v>
      </c>
      <c r="BK30" s="33">
        <f t="shared" si="100"/>
        <v>0</v>
      </c>
      <c r="BL30" s="50">
        <f t="shared" si="101"/>
        <v>0</v>
      </c>
      <c r="BM30" s="86" t="s">
        <v>37</v>
      </c>
      <c r="BN30" s="86" t="s">
        <v>44</v>
      </c>
      <c r="BO30" s="51" t="s">
        <v>37</v>
      </c>
      <c r="BP30" s="51" t="s">
        <v>44</v>
      </c>
      <c r="BQ30" s="52">
        <f t="shared" si="12"/>
        <v>41091</v>
      </c>
      <c r="BR30" s="52">
        <f t="shared" si="13"/>
        <v>41456</v>
      </c>
      <c r="BS30" s="53">
        <f>ROUND((1+VLOOKUP(BQ30,'Расчет инфляции'!$E$5:$F$370,2,0))*(1+'Расчет инфляции'!$B$18/12*5)-1,4)</f>
        <v>0.0725</v>
      </c>
      <c r="BT30" s="53">
        <f>ROUND((1+VLOOKUP(BR30,'Расчет инфляции'!$I$5:$J$370,2,0))*(1+'Расчет инфляции'!$B$19)*(1+'Расчет инфляции'!$B$18/12*5)-1,4)</f>
        <v>0.1484</v>
      </c>
      <c r="BU30" s="50">
        <f t="shared" si="102"/>
        <v>0</v>
      </c>
      <c r="BV30" s="50">
        <f t="shared" si="103"/>
        <v>0</v>
      </c>
      <c r="BW30" s="192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V30" s="49"/>
      <c r="CW30" s="49"/>
      <c r="CX30" s="49"/>
      <c r="CY30" s="49">
        <f t="shared" si="104"/>
        <v>0</v>
      </c>
      <c r="CZ30" s="16" t="e">
        <f t="shared" si="105"/>
        <v>#DIV/0!</v>
      </c>
      <c r="DA30" s="56" t="e">
        <f t="shared" si="14"/>
        <v>#DIV/0!</v>
      </c>
      <c r="DB30" s="57">
        <v>1</v>
      </c>
      <c r="DC30" s="54">
        <f t="shared" si="106"/>
        <v>100000</v>
      </c>
      <c r="DD30" s="54">
        <v>100000</v>
      </c>
      <c r="DE30" s="54">
        <f t="shared" si="16"/>
        <v>0</v>
      </c>
      <c r="DF30" s="54" t="b">
        <f t="shared" si="17"/>
        <v>1</v>
      </c>
    </row>
    <row r="31" spans="1:110" s="47" customFormat="1" ht="12.75">
      <c r="A31" s="6">
        <f t="shared" si="63"/>
        <v>28</v>
      </c>
      <c r="B31" s="7"/>
      <c r="C31" s="8"/>
      <c r="D31" s="9"/>
      <c r="E31" s="10">
        <v>0.01</v>
      </c>
      <c r="F31" s="11"/>
      <c r="G31" s="12"/>
      <c r="H31" s="27"/>
      <c r="I31" s="28"/>
      <c r="J31" s="21"/>
      <c r="K31" s="29"/>
      <c r="L31" s="29"/>
      <c r="M31" s="29"/>
      <c r="N31" s="29"/>
      <c r="O31" s="29"/>
      <c r="P31" s="32">
        <f t="shared" si="64"/>
        <v>0</v>
      </c>
      <c r="Q31" s="30">
        <f t="shared" si="18"/>
        <v>0</v>
      </c>
      <c r="R31" s="29"/>
      <c r="S31" s="30"/>
      <c r="T31" s="30"/>
      <c r="U31" s="32">
        <f t="shared" si="65"/>
        <v>0</v>
      </c>
      <c r="V31" s="33">
        <f t="shared" si="66"/>
        <v>0</v>
      </c>
      <c r="W31" s="33">
        <f t="shared" si="67"/>
        <v>0</v>
      </c>
      <c r="X31" s="85">
        <f t="shared" si="68"/>
        <v>0</v>
      </c>
      <c r="Y31" s="33"/>
      <c r="Z31" s="33"/>
      <c r="AA31" s="33"/>
      <c r="AB31" s="33">
        <f t="shared" si="69"/>
        <v>0</v>
      </c>
      <c r="AC31" s="33">
        <f t="shared" si="70"/>
        <v>0</v>
      </c>
      <c r="AD31" s="33">
        <f t="shared" si="71"/>
        <v>0</v>
      </c>
      <c r="AE31" s="33">
        <f t="shared" si="72"/>
        <v>0</v>
      </c>
      <c r="AF31" s="33">
        <f t="shared" si="73"/>
        <v>0</v>
      </c>
      <c r="AG31" s="33">
        <f t="shared" si="74"/>
        <v>0</v>
      </c>
      <c r="AH31" s="33">
        <f t="shared" si="75"/>
        <v>0</v>
      </c>
      <c r="AI31" s="33">
        <f t="shared" si="76"/>
        <v>0</v>
      </c>
      <c r="AJ31" s="33">
        <f t="shared" si="77"/>
        <v>0</v>
      </c>
      <c r="AK31" s="33">
        <f t="shared" si="78"/>
        <v>0</v>
      </c>
      <c r="AL31" s="33">
        <f t="shared" si="79"/>
        <v>0</v>
      </c>
      <c r="AM31" s="33">
        <f t="shared" si="4"/>
        <v>0</v>
      </c>
      <c r="AN31" s="33">
        <f t="shared" si="5"/>
        <v>0</v>
      </c>
      <c r="AO31" s="33">
        <f t="shared" si="6"/>
        <v>0</v>
      </c>
      <c r="AP31" s="33">
        <f t="shared" si="7"/>
        <v>0</v>
      </c>
      <c r="AQ31" s="33">
        <f t="shared" si="80"/>
        <v>0</v>
      </c>
      <c r="AR31" s="33">
        <f t="shared" si="81"/>
        <v>0</v>
      </c>
      <c r="AS31" s="33">
        <f t="shared" si="82"/>
        <v>0</v>
      </c>
      <c r="AT31" s="33">
        <f t="shared" si="83"/>
        <v>0</v>
      </c>
      <c r="AU31" s="33">
        <f t="shared" si="84"/>
        <v>0</v>
      </c>
      <c r="AV31" s="33">
        <f t="shared" si="85"/>
        <v>0</v>
      </c>
      <c r="AW31" s="33">
        <f t="shared" si="86"/>
        <v>0</v>
      </c>
      <c r="AX31" s="33">
        <f t="shared" si="87"/>
        <v>0</v>
      </c>
      <c r="AY31" s="33">
        <f t="shared" si="88"/>
        <v>0</v>
      </c>
      <c r="AZ31" s="33">
        <f t="shared" si="89"/>
        <v>0</v>
      </c>
      <c r="BA31" s="33">
        <f t="shared" si="90"/>
        <v>0</v>
      </c>
      <c r="BB31" s="33">
        <f t="shared" si="91"/>
        <v>0</v>
      </c>
      <c r="BC31" s="33">
        <f t="shared" si="92"/>
        <v>0</v>
      </c>
      <c r="BD31" s="33">
        <f t="shared" si="93"/>
        <v>0</v>
      </c>
      <c r="BE31" s="33">
        <f t="shared" si="94"/>
        <v>0</v>
      </c>
      <c r="BF31" s="33">
        <f t="shared" si="95"/>
        <v>0</v>
      </c>
      <c r="BG31" s="33">
        <f t="shared" si="96"/>
        <v>0</v>
      </c>
      <c r="BH31" s="33">
        <f t="shared" si="97"/>
        <v>0</v>
      </c>
      <c r="BI31" s="33">
        <f t="shared" si="98"/>
        <v>0</v>
      </c>
      <c r="BJ31" s="33">
        <f t="shared" si="99"/>
        <v>0</v>
      </c>
      <c r="BK31" s="33">
        <f t="shared" si="100"/>
        <v>0</v>
      </c>
      <c r="BL31" s="50">
        <f t="shared" si="101"/>
        <v>0</v>
      </c>
      <c r="BM31" s="86" t="s">
        <v>37</v>
      </c>
      <c r="BN31" s="86" t="s">
        <v>44</v>
      </c>
      <c r="BO31" s="51" t="s">
        <v>37</v>
      </c>
      <c r="BP31" s="51" t="s">
        <v>44</v>
      </c>
      <c r="BQ31" s="52">
        <f t="shared" si="12"/>
        <v>41091</v>
      </c>
      <c r="BR31" s="52">
        <f t="shared" si="13"/>
        <v>41456</v>
      </c>
      <c r="BS31" s="53">
        <f>ROUND((1+VLOOKUP(BQ31,'Расчет инфляции'!$E$5:$F$370,2,0))*(1+'Расчет инфляции'!$B$18/12*5)-1,4)</f>
        <v>0.0725</v>
      </c>
      <c r="BT31" s="53">
        <f>ROUND((1+VLOOKUP(BR31,'Расчет инфляции'!$I$5:$J$370,2,0))*(1+'Расчет инфляции'!$B$19)*(1+'Расчет инфляции'!$B$18/12*5)-1,4)</f>
        <v>0.1484</v>
      </c>
      <c r="BU31" s="50">
        <f t="shared" si="102"/>
        <v>0</v>
      </c>
      <c r="BV31" s="50">
        <f t="shared" si="103"/>
        <v>0</v>
      </c>
      <c r="BW31" s="192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V31" s="49"/>
      <c r="CW31" s="49"/>
      <c r="CX31" s="49"/>
      <c r="CY31" s="49">
        <f t="shared" si="104"/>
        <v>0</v>
      </c>
      <c r="CZ31" s="16" t="e">
        <f t="shared" si="105"/>
        <v>#DIV/0!</v>
      </c>
      <c r="DA31" s="56" t="e">
        <f t="shared" si="14"/>
        <v>#DIV/0!</v>
      </c>
      <c r="DB31" s="57">
        <v>1</v>
      </c>
      <c r="DC31" s="54">
        <f t="shared" si="106"/>
        <v>100000</v>
      </c>
      <c r="DD31" s="54">
        <v>100000</v>
      </c>
      <c r="DE31" s="54">
        <f t="shared" si="16"/>
        <v>0</v>
      </c>
      <c r="DF31" s="54" t="b">
        <f t="shared" si="17"/>
        <v>1</v>
      </c>
    </row>
    <row r="32" spans="1:110" s="47" customFormat="1" ht="12.75">
      <c r="A32" s="6">
        <f t="shared" si="63"/>
        <v>29</v>
      </c>
      <c r="B32" s="7"/>
      <c r="C32" s="8"/>
      <c r="D32" s="9"/>
      <c r="E32" s="10">
        <v>0.01</v>
      </c>
      <c r="F32" s="11"/>
      <c r="G32" s="12"/>
      <c r="H32" s="27"/>
      <c r="I32" s="28"/>
      <c r="J32" s="21"/>
      <c r="K32" s="29"/>
      <c r="L32" s="29"/>
      <c r="M32" s="29"/>
      <c r="N32" s="29"/>
      <c r="O32" s="29"/>
      <c r="P32" s="32">
        <f t="shared" si="64"/>
        <v>0</v>
      </c>
      <c r="Q32" s="30">
        <f t="shared" si="18"/>
        <v>0</v>
      </c>
      <c r="R32" s="29"/>
      <c r="S32" s="30"/>
      <c r="T32" s="30"/>
      <c r="U32" s="32">
        <f t="shared" si="65"/>
        <v>0</v>
      </c>
      <c r="V32" s="33">
        <f t="shared" si="66"/>
        <v>0</v>
      </c>
      <c r="W32" s="33">
        <f t="shared" si="67"/>
        <v>0</v>
      </c>
      <c r="X32" s="85">
        <f t="shared" si="68"/>
        <v>0</v>
      </c>
      <c r="Y32" s="33"/>
      <c r="Z32" s="33"/>
      <c r="AA32" s="33"/>
      <c r="AB32" s="33">
        <f t="shared" si="69"/>
        <v>0</v>
      </c>
      <c r="AC32" s="33">
        <f t="shared" si="70"/>
        <v>0</v>
      </c>
      <c r="AD32" s="33">
        <f t="shared" si="71"/>
        <v>0</v>
      </c>
      <c r="AE32" s="33">
        <f t="shared" si="72"/>
        <v>0</v>
      </c>
      <c r="AF32" s="33">
        <f t="shared" si="73"/>
        <v>0</v>
      </c>
      <c r="AG32" s="33">
        <f t="shared" si="74"/>
        <v>0</v>
      </c>
      <c r="AH32" s="33">
        <f t="shared" si="75"/>
        <v>0</v>
      </c>
      <c r="AI32" s="33">
        <f t="shared" si="76"/>
        <v>0</v>
      </c>
      <c r="AJ32" s="33">
        <f t="shared" si="77"/>
        <v>0</v>
      </c>
      <c r="AK32" s="33">
        <f t="shared" si="78"/>
        <v>0</v>
      </c>
      <c r="AL32" s="33">
        <f t="shared" si="79"/>
        <v>0</v>
      </c>
      <c r="AM32" s="33">
        <f t="shared" si="4"/>
        <v>0</v>
      </c>
      <c r="AN32" s="33">
        <f t="shared" si="5"/>
        <v>0</v>
      </c>
      <c r="AO32" s="33">
        <f t="shared" si="6"/>
        <v>0</v>
      </c>
      <c r="AP32" s="33">
        <f t="shared" si="7"/>
        <v>0</v>
      </c>
      <c r="AQ32" s="33">
        <f t="shared" si="80"/>
        <v>0</v>
      </c>
      <c r="AR32" s="33">
        <f t="shared" si="81"/>
        <v>0</v>
      </c>
      <c r="AS32" s="33">
        <f t="shared" si="82"/>
        <v>0</v>
      </c>
      <c r="AT32" s="33">
        <f t="shared" si="83"/>
        <v>0</v>
      </c>
      <c r="AU32" s="33">
        <f t="shared" si="84"/>
        <v>0</v>
      </c>
      <c r="AV32" s="33">
        <f t="shared" si="85"/>
        <v>0</v>
      </c>
      <c r="AW32" s="33">
        <f t="shared" si="86"/>
        <v>0</v>
      </c>
      <c r="AX32" s="33">
        <f t="shared" si="87"/>
        <v>0</v>
      </c>
      <c r="AY32" s="33">
        <f t="shared" si="88"/>
        <v>0</v>
      </c>
      <c r="AZ32" s="33">
        <f t="shared" si="89"/>
        <v>0</v>
      </c>
      <c r="BA32" s="33">
        <f t="shared" si="90"/>
        <v>0</v>
      </c>
      <c r="BB32" s="33">
        <f t="shared" si="91"/>
        <v>0</v>
      </c>
      <c r="BC32" s="33">
        <f t="shared" si="92"/>
        <v>0</v>
      </c>
      <c r="BD32" s="33">
        <f t="shared" si="93"/>
        <v>0</v>
      </c>
      <c r="BE32" s="33">
        <f t="shared" si="94"/>
        <v>0</v>
      </c>
      <c r="BF32" s="33">
        <f t="shared" si="95"/>
        <v>0</v>
      </c>
      <c r="BG32" s="33">
        <f t="shared" si="96"/>
        <v>0</v>
      </c>
      <c r="BH32" s="33">
        <f t="shared" si="97"/>
        <v>0</v>
      </c>
      <c r="BI32" s="33">
        <f t="shared" si="98"/>
        <v>0</v>
      </c>
      <c r="BJ32" s="33">
        <f t="shared" si="99"/>
        <v>0</v>
      </c>
      <c r="BK32" s="33">
        <f t="shared" si="100"/>
        <v>0</v>
      </c>
      <c r="BL32" s="50">
        <f t="shared" si="101"/>
        <v>0</v>
      </c>
      <c r="BM32" s="86" t="s">
        <v>37</v>
      </c>
      <c r="BN32" s="86" t="s">
        <v>44</v>
      </c>
      <c r="BO32" s="51" t="s">
        <v>37</v>
      </c>
      <c r="BP32" s="51" t="s">
        <v>44</v>
      </c>
      <c r="BQ32" s="52">
        <f t="shared" si="12"/>
        <v>41091</v>
      </c>
      <c r="BR32" s="52">
        <f t="shared" si="13"/>
        <v>41456</v>
      </c>
      <c r="BS32" s="53">
        <f>ROUND((1+VLOOKUP(BQ32,'Расчет инфляции'!$E$5:$F$370,2,0))*(1+'Расчет инфляции'!$B$18/12*5)-1,4)</f>
        <v>0.0725</v>
      </c>
      <c r="BT32" s="53">
        <f>ROUND((1+VLOOKUP(BR32,'Расчет инфляции'!$I$5:$J$370,2,0))*(1+'Расчет инфляции'!$B$19)*(1+'Расчет инфляции'!$B$18/12*5)-1,4)</f>
        <v>0.1484</v>
      </c>
      <c r="BU32" s="50">
        <f t="shared" si="102"/>
        <v>0</v>
      </c>
      <c r="BV32" s="50">
        <f t="shared" si="103"/>
        <v>0</v>
      </c>
      <c r="BW32" s="192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V32" s="49"/>
      <c r="CW32" s="49"/>
      <c r="CX32" s="49"/>
      <c r="CY32" s="49">
        <f t="shared" si="104"/>
        <v>0</v>
      </c>
      <c r="CZ32" s="16" t="e">
        <f t="shared" si="105"/>
        <v>#DIV/0!</v>
      </c>
      <c r="DA32" s="56" t="e">
        <f t="shared" si="14"/>
        <v>#DIV/0!</v>
      </c>
      <c r="DB32" s="57">
        <v>1</v>
      </c>
      <c r="DC32" s="54">
        <f t="shared" si="106"/>
        <v>100000</v>
      </c>
      <c r="DD32" s="54">
        <v>100000</v>
      </c>
      <c r="DE32" s="54">
        <f t="shared" si="16"/>
        <v>0</v>
      </c>
      <c r="DF32" s="54" t="b">
        <f t="shared" si="17"/>
        <v>1</v>
      </c>
    </row>
    <row r="33" spans="1:110" s="47" customFormat="1" ht="12.75">
      <c r="A33" s="6">
        <f t="shared" si="63"/>
        <v>30</v>
      </c>
      <c r="B33" s="7"/>
      <c r="C33" s="8"/>
      <c r="D33" s="9"/>
      <c r="E33" s="10">
        <v>0.01</v>
      </c>
      <c r="F33" s="11"/>
      <c r="G33" s="12"/>
      <c r="H33" s="27"/>
      <c r="I33" s="28"/>
      <c r="J33" s="21"/>
      <c r="K33" s="29"/>
      <c r="L33" s="29"/>
      <c r="M33" s="29"/>
      <c r="N33" s="29"/>
      <c r="O33" s="29"/>
      <c r="P33" s="32">
        <f t="shared" si="20"/>
        <v>0</v>
      </c>
      <c r="Q33" s="30">
        <f t="shared" si="18"/>
        <v>0</v>
      </c>
      <c r="R33" s="29"/>
      <c r="S33" s="30"/>
      <c r="T33" s="30"/>
      <c r="U33" s="32">
        <f t="shared" si="21"/>
        <v>0</v>
      </c>
      <c r="V33" s="33">
        <f t="shared" si="22"/>
        <v>0</v>
      </c>
      <c r="W33" s="33">
        <f t="shared" si="23"/>
        <v>0</v>
      </c>
      <c r="X33" s="85">
        <f t="shared" si="62"/>
        <v>0</v>
      </c>
      <c r="Y33" s="33"/>
      <c r="Z33" s="33"/>
      <c r="AA33" s="33"/>
      <c r="AB33" s="33">
        <f t="shared" si="24"/>
        <v>0</v>
      </c>
      <c r="AC33" s="33">
        <f t="shared" si="25"/>
        <v>0</v>
      </c>
      <c r="AD33" s="33">
        <f t="shared" si="26"/>
        <v>0</v>
      </c>
      <c r="AE33" s="33">
        <f t="shared" si="27"/>
        <v>0</v>
      </c>
      <c r="AF33" s="33">
        <f t="shared" si="28"/>
        <v>0</v>
      </c>
      <c r="AG33" s="33">
        <f t="shared" si="29"/>
        <v>0</v>
      </c>
      <c r="AH33" s="33">
        <f t="shared" si="30"/>
        <v>0</v>
      </c>
      <c r="AI33" s="33">
        <f t="shared" si="31"/>
        <v>0</v>
      </c>
      <c r="AJ33" s="33">
        <f t="shared" si="32"/>
        <v>0</v>
      </c>
      <c r="AK33" s="33">
        <f t="shared" si="33"/>
        <v>0</v>
      </c>
      <c r="AL33" s="33">
        <f t="shared" si="34"/>
        <v>0</v>
      </c>
      <c r="AM33" s="33">
        <f t="shared" si="4"/>
        <v>0</v>
      </c>
      <c r="AN33" s="33">
        <f t="shared" si="5"/>
        <v>0</v>
      </c>
      <c r="AO33" s="33">
        <f t="shared" si="6"/>
        <v>0</v>
      </c>
      <c r="AP33" s="33">
        <f t="shared" si="7"/>
        <v>0</v>
      </c>
      <c r="AQ33" s="33">
        <f t="shared" si="35"/>
        <v>0</v>
      </c>
      <c r="AR33" s="33">
        <f t="shared" si="36"/>
        <v>0</v>
      </c>
      <c r="AS33" s="33">
        <f t="shared" si="37"/>
        <v>0</v>
      </c>
      <c r="AT33" s="33">
        <f t="shared" si="38"/>
        <v>0</v>
      </c>
      <c r="AU33" s="33">
        <f t="shared" si="39"/>
        <v>0</v>
      </c>
      <c r="AV33" s="33">
        <f t="shared" si="40"/>
        <v>0</v>
      </c>
      <c r="AW33" s="33">
        <f t="shared" si="41"/>
        <v>0</v>
      </c>
      <c r="AX33" s="33">
        <f t="shared" si="42"/>
        <v>0</v>
      </c>
      <c r="AY33" s="33">
        <f t="shared" si="43"/>
        <v>0</v>
      </c>
      <c r="AZ33" s="33">
        <f t="shared" si="44"/>
        <v>0</v>
      </c>
      <c r="BA33" s="33">
        <f t="shared" si="45"/>
        <v>0</v>
      </c>
      <c r="BB33" s="33">
        <f t="shared" si="46"/>
        <v>0</v>
      </c>
      <c r="BC33" s="33">
        <f t="shared" si="47"/>
        <v>0</v>
      </c>
      <c r="BD33" s="33">
        <f t="shared" si="48"/>
        <v>0</v>
      </c>
      <c r="BE33" s="33">
        <f t="shared" si="49"/>
        <v>0</v>
      </c>
      <c r="BF33" s="33">
        <f t="shared" si="50"/>
        <v>0</v>
      </c>
      <c r="BG33" s="33">
        <f t="shared" si="51"/>
        <v>0</v>
      </c>
      <c r="BH33" s="33">
        <f t="shared" si="52"/>
        <v>0</v>
      </c>
      <c r="BI33" s="33">
        <f t="shared" si="53"/>
        <v>0</v>
      </c>
      <c r="BJ33" s="33">
        <f t="shared" si="54"/>
        <v>0</v>
      </c>
      <c r="BK33" s="33">
        <f t="shared" si="55"/>
        <v>0</v>
      </c>
      <c r="BL33" s="50">
        <f t="shared" si="56"/>
        <v>0</v>
      </c>
      <c r="BM33" s="86" t="s">
        <v>37</v>
      </c>
      <c r="BN33" s="86" t="s">
        <v>44</v>
      </c>
      <c r="BO33" s="51" t="s">
        <v>37</v>
      </c>
      <c r="BP33" s="51" t="s">
        <v>44</v>
      </c>
      <c r="BQ33" s="52">
        <f t="shared" si="12"/>
        <v>41091</v>
      </c>
      <c r="BR33" s="52">
        <f t="shared" si="13"/>
        <v>41456</v>
      </c>
      <c r="BS33" s="53">
        <f>ROUND((1+VLOOKUP(BQ33,'Расчет инфляции'!$E$5:$F$370,2,0))*(1+'Расчет инфляции'!$B$18/12*5)-1,4)</f>
        <v>0.0725</v>
      </c>
      <c r="BT33" s="53">
        <f>ROUND((1+VLOOKUP(BR33,'Расчет инфляции'!$I$5:$J$370,2,0))*(1+'Расчет инфляции'!$B$19)*(1+'Расчет инфляции'!$B$18/12*5)-1,4)</f>
        <v>0.1484</v>
      </c>
      <c r="BU33" s="50">
        <f t="shared" si="57"/>
        <v>0</v>
      </c>
      <c r="BV33" s="50">
        <f t="shared" si="58"/>
        <v>0</v>
      </c>
      <c r="BW33" s="192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V33" s="49"/>
      <c r="CW33" s="49"/>
      <c r="CX33" s="49"/>
      <c r="CY33" s="49">
        <f t="shared" si="59"/>
        <v>0</v>
      </c>
      <c r="CZ33" s="16" t="e">
        <f t="shared" si="60"/>
        <v>#DIV/0!</v>
      </c>
      <c r="DA33" s="56" t="e">
        <f t="shared" si="14"/>
        <v>#DIV/0!</v>
      </c>
      <c r="DB33" s="57">
        <v>1</v>
      </c>
      <c r="DC33" s="54">
        <f t="shared" si="61"/>
        <v>100000</v>
      </c>
      <c r="DD33" s="54">
        <v>100000</v>
      </c>
      <c r="DE33" s="54">
        <f t="shared" si="16"/>
        <v>0</v>
      </c>
      <c r="DF33" s="54" t="b">
        <f t="shared" si="17"/>
        <v>1</v>
      </c>
    </row>
    <row r="34" spans="1:110" s="47" customFormat="1" ht="56.25">
      <c r="A34" s="6">
        <f t="shared" si="19"/>
        <v>31</v>
      </c>
      <c r="B34" s="7"/>
      <c r="C34" s="8"/>
      <c r="D34" s="9"/>
      <c r="E34" s="10">
        <v>0.01</v>
      </c>
      <c r="F34" s="11"/>
      <c r="G34" s="12"/>
      <c r="H34" s="50"/>
      <c r="I34" s="90" t="s">
        <v>145</v>
      </c>
      <c r="J34" s="21"/>
      <c r="K34" s="33">
        <f aca="true" t="shared" si="107" ref="K34:AP34">SUBTOTAL(9,K4:K33)</f>
        <v>94647.89000000001</v>
      </c>
      <c r="L34" s="33">
        <f t="shared" si="107"/>
        <v>123379.92</v>
      </c>
      <c r="M34" s="33">
        <f t="shared" si="107"/>
        <v>1453171.08</v>
      </c>
      <c r="N34" s="33">
        <f t="shared" si="107"/>
        <v>114523.97</v>
      </c>
      <c r="O34" s="33">
        <f t="shared" si="107"/>
        <v>61521.13999999999</v>
      </c>
      <c r="P34" s="32">
        <f t="shared" si="107"/>
        <v>1847244</v>
      </c>
      <c r="Q34" s="32">
        <f t="shared" si="107"/>
        <v>1847244</v>
      </c>
      <c r="R34" s="33">
        <f t="shared" si="107"/>
        <v>0</v>
      </c>
      <c r="S34" s="32">
        <f t="shared" si="107"/>
        <v>0</v>
      </c>
      <c r="T34" s="32">
        <f t="shared" si="107"/>
        <v>0</v>
      </c>
      <c r="U34" s="32">
        <f t="shared" si="107"/>
        <v>1847244</v>
      </c>
      <c r="V34" s="33">
        <f t="shared" si="107"/>
        <v>0</v>
      </c>
      <c r="W34" s="33">
        <f t="shared" si="107"/>
        <v>0</v>
      </c>
      <c r="X34" s="33">
        <f t="shared" si="107"/>
        <v>14587</v>
      </c>
      <c r="Y34" s="33">
        <f t="shared" si="107"/>
        <v>0</v>
      </c>
      <c r="Z34" s="33">
        <f t="shared" si="107"/>
        <v>0</v>
      </c>
      <c r="AA34" s="33">
        <f t="shared" si="107"/>
        <v>0</v>
      </c>
      <c r="AB34" s="33">
        <f t="shared" si="107"/>
        <v>0</v>
      </c>
      <c r="AC34" s="33">
        <f t="shared" si="107"/>
        <v>55417</v>
      </c>
      <c r="AD34" s="33">
        <f t="shared" si="107"/>
        <v>0</v>
      </c>
      <c r="AE34" s="33">
        <f t="shared" si="107"/>
        <v>0</v>
      </c>
      <c r="AF34" s="33">
        <f t="shared" si="107"/>
        <v>438</v>
      </c>
      <c r="AG34" s="33">
        <f t="shared" si="107"/>
        <v>55855</v>
      </c>
      <c r="AH34" s="33">
        <f t="shared" si="107"/>
        <v>1902661</v>
      </c>
      <c r="AI34" s="33">
        <f t="shared" si="107"/>
        <v>0</v>
      </c>
      <c r="AJ34" s="33">
        <f t="shared" si="107"/>
        <v>0</v>
      </c>
      <c r="AK34" s="33">
        <f t="shared" si="107"/>
        <v>15025</v>
      </c>
      <c r="AL34" s="33">
        <f t="shared" si="107"/>
        <v>1917686</v>
      </c>
      <c r="AM34" s="33">
        <f t="shared" si="107"/>
        <v>1902661</v>
      </c>
      <c r="AN34" s="33">
        <f t="shared" si="107"/>
        <v>0</v>
      </c>
      <c r="AO34" s="33">
        <f t="shared" si="107"/>
        <v>0</v>
      </c>
      <c r="AP34" s="33">
        <f t="shared" si="107"/>
        <v>15025</v>
      </c>
      <c r="AQ34" s="33">
        <f aca="true" t="shared" si="108" ref="AQ34:BL34">SUBTOTAL(9,AQ4:AQ33)</f>
        <v>1917686</v>
      </c>
      <c r="AR34" s="33">
        <f t="shared" si="108"/>
        <v>149740</v>
      </c>
      <c r="AS34" s="33">
        <f t="shared" si="108"/>
        <v>0</v>
      </c>
      <c r="AT34" s="33">
        <f t="shared" si="108"/>
        <v>0</v>
      </c>
      <c r="AU34" s="33">
        <f t="shared" si="108"/>
        <v>1182</v>
      </c>
      <c r="AV34" s="33">
        <f t="shared" si="108"/>
        <v>150922</v>
      </c>
      <c r="AW34" s="33">
        <f t="shared" si="108"/>
        <v>369432</v>
      </c>
      <c r="AX34" s="33">
        <f t="shared" si="108"/>
        <v>0</v>
      </c>
      <c r="AY34" s="33">
        <f t="shared" si="108"/>
        <v>0</v>
      </c>
      <c r="AZ34" s="33">
        <f t="shared" si="108"/>
        <v>2918</v>
      </c>
      <c r="BA34" s="33">
        <f t="shared" si="108"/>
        <v>372350</v>
      </c>
      <c r="BB34" s="33">
        <f t="shared" si="108"/>
        <v>0</v>
      </c>
      <c r="BC34" s="33">
        <f t="shared" si="108"/>
        <v>0</v>
      </c>
      <c r="BD34" s="33">
        <f t="shared" si="108"/>
        <v>0</v>
      </c>
      <c r="BE34" s="33">
        <f t="shared" si="108"/>
        <v>0</v>
      </c>
      <c r="BF34" s="33">
        <f t="shared" si="108"/>
        <v>0</v>
      </c>
      <c r="BG34" s="33">
        <f t="shared" si="108"/>
        <v>0</v>
      </c>
      <c r="BH34" s="33">
        <f t="shared" si="108"/>
        <v>0</v>
      </c>
      <c r="BI34" s="33">
        <f t="shared" si="108"/>
        <v>0</v>
      </c>
      <c r="BJ34" s="33">
        <f t="shared" si="108"/>
        <v>0</v>
      </c>
      <c r="BK34" s="33">
        <f t="shared" si="108"/>
        <v>0</v>
      </c>
      <c r="BL34" s="50">
        <f t="shared" si="108"/>
        <v>2440958</v>
      </c>
      <c r="BM34" s="166"/>
      <c r="BN34" s="166"/>
      <c r="BO34" s="166"/>
      <c r="BP34" s="166"/>
      <c r="BQ34" s="166"/>
      <c r="BR34" s="166"/>
      <c r="BS34" s="166"/>
      <c r="BT34" s="166"/>
      <c r="BU34" s="50">
        <f>AQ34+AV34+BA34</f>
        <v>2440958</v>
      </c>
      <c r="BV34" s="50">
        <f>AL34-AQ34+BF34+BK34</f>
        <v>0</v>
      </c>
      <c r="BW34" s="193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Z34" s="16"/>
      <c r="DA34" s="16"/>
      <c r="DB34" s="16"/>
      <c r="DC34" s="16"/>
      <c r="DD34" s="16"/>
      <c r="DE34" s="16"/>
      <c r="DF34" s="16"/>
    </row>
    <row r="35" spans="1:110" s="47" customFormat="1" ht="12.75">
      <c r="A35" s="13"/>
      <c r="B35" s="14"/>
      <c r="C35" s="14"/>
      <c r="D35" s="14"/>
      <c r="E35" s="14"/>
      <c r="F35" s="14"/>
      <c r="G35" s="15"/>
      <c r="H35" s="58"/>
      <c r="I35" s="59" t="s">
        <v>36</v>
      </c>
      <c r="J35" s="22"/>
      <c r="K35" s="60"/>
      <c r="L35" s="23"/>
      <c r="M35" s="23"/>
      <c r="N35" s="23"/>
      <c r="O35" s="23"/>
      <c r="P35" s="61"/>
      <c r="Q35" s="61"/>
      <c r="R35" s="61"/>
      <c r="S35" s="23"/>
      <c r="T35" s="23"/>
      <c r="U35" s="23"/>
      <c r="V35" s="23"/>
      <c r="W35" s="23"/>
      <c r="X35" s="34"/>
      <c r="Y35" s="34"/>
      <c r="Z35" s="34"/>
      <c r="AA35" s="34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2"/>
      <c r="BM35" s="63"/>
      <c r="BN35" s="16"/>
      <c r="BO35" s="16"/>
      <c r="BP35" s="16"/>
      <c r="BQ35" s="64"/>
      <c r="BR35" s="64"/>
      <c r="BS35" s="65"/>
      <c r="BT35" s="65"/>
      <c r="BU35" s="62"/>
      <c r="BV35" s="62"/>
      <c r="BW35" s="62"/>
      <c r="BY35" s="66"/>
      <c r="BZ35" s="66"/>
      <c r="CA35" s="66"/>
      <c r="CB35" s="66"/>
      <c r="CC35" s="66"/>
      <c r="CD35" s="66"/>
      <c r="CE35" s="66"/>
      <c r="CZ35" s="16"/>
      <c r="DA35" s="16"/>
      <c r="DB35" s="16"/>
      <c r="DC35" s="16"/>
      <c r="DD35" s="16"/>
      <c r="DE35" s="16"/>
      <c r="DF35" s="16"/>
    </row>
    <row r="36" spans="1:110" s="47" customFormat="1" ht="22.5">
      <c r="A36" s="13"/>
      <c r="B36" s="14"/>
      <c r="C36" s="14"/>
      <c r="D36" s="14"/>
      <c r="E36" s="14"/>
      <c r="F36" s="14"/>
      <c r="G36" s="15"/>
      <c r="H36" s="88"/>
      <c r="I36" s="28" t="s">
        <v>146</v>
      </c>
      <c r="J36" s="22"/>
      <c r="K36" s="89" t="s">
        <v>105</v>
      </c>
      <c r="L36" s="23"/>
      <c r="M36" s="23"/>
      <c r="N36" s="23"/>
      <c r="O36" s="23"/>
      <c r="P36" s="61"/>
      <c r="Q36" s="61"/>
      <c r="R36" s="61"/>
      <c r="S36" s="23"/>
      <c r="T36" s="23"/>
      <c r="U36" s="23"/>
      <c r="V36" s="23"/>
      <c r="W36" s="23"/>
      <c r="X36" s="34"/>
      <c r="Y36" s="34"/>
      <c r="Z36" s="34"/>
      <c r="AA36" s="34"/>
      <c r="AB36" s="60"/>
      <c r="AC36" s="60"/>
      <c r="AD36" s="60"/>
      <c r="AE36" s="60"/>
      <c r="AF36" s="60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0"/>
      <c r="AW36" s="60"/>
      <c r="AX36" s="60"/>
      <c r="AY36" s="60"/>
      <c r="AZ36" s="60"/>
      <c r="BA36" s="60"/>
      <c r="BB36" s="61"/>
      <c r="BC36" s="61"/>
      <c r="BD36" s="61"/>
      <c r="BE36" s="61"/>
      <c r="BF36" s="60"/>
      <c r="BG36" s="60"/>
      <c r="BH36" s="60"/>
      <c r="BI36" s="60"/>
      <c r="BJ36" s="60"/>
      <c r="BK36" s="60"/>
      <c r="BL36" s="62"/>
      <c r="BM36" s="63"/>
      <c r="BN36" s="16"/>
      <c r="BO36" s="16"/>
      <c r="BP36" s="16"/>
      <c r="BQ36" s="64"/>
      <c r="BR36" s="64"/>
      <c r="BS36" s="65"/>
      <c r="BT36" s="65"/>
      <c r="BU36" s="62"/>
      <c r="BV36" s="62"/>
      <c r="BW36" s="62"/>
      <c r="BY36" s="66"/>
      <c r="BZ36" s="66"/>
      <c r="CA36" s="66"/>
      <c r="CB36" s="66"/>
      <c r="CC36" s="66"/>
      <c r="CD36" s="66"/>
      <c r="CE36" s="66"/>
      <c r="CR36" s="66"/>
      <c r="CS36" s="66"/>
      <c r="CT36" s="66"/>
      <c r="CZ36" s="16"/>
      <c r="DA36" s="16"/>
      <c r="DB36" s="16"/>
      <c r="DC36" s="16"/>
      <c r="DD36" s="16"/>
      <c r="DE36" s="16"/>
      <c r="DF36" s="16"/>
    </row>
    <row r="37" spans="1:110" s="47" customFormat="1" ht="22.5">
      <c r="A37" s="13"/>
      <c r="B37" s="14"/>
      <c r="C37" s="14"/>
      <c r="D37" s="14"/>
      <c r="E37" s="14"/>
      <c r="F37" s="14"/>
      <c r="G37" s="15"/>
      <c r="H37" s="88"/>
      <c r="I37" s="28" t="s">
        <v>147</v>
      </c>
      <c r="J37" s="22"/>
      <c r="K37" s="89" t="s">
        <v>106</v>
      </c>
      <c r="L37" s="23"/>
      <c r="M37" s="23"/>
      <c r="N37" s="23"/>
      <c r="O37" s="23"/>
      <c r="P37" s="61"/>
      <c r="Q37" s="61"/>
      <c r="R37" s="61"/>
      <c r="S37" s="23"/>
      <c r="T37" s="23"/>
      <c r="U37" s="23"/>
      <c r="V37" s="23"/>
      <c r="W37" s="23"/>
      <c r="X37" s="34"/>
      <c r="Y37" s="34"/>
      <c r="Z37" s="34"/>
      <c r="AA37" s="34"/>
      <c r="AB37" s="67"/>
      <c r="AC37" s="67"/>
      <c r="AD37" s="67"/>
      <c r="AE37" s="67"/>
      <c r="AF37" s="67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60"/>
      <c r="AW37" s="60"/>
      <c r="AX37" s="60"/>
      <c r="AY37" s="60"/>
      <c r="AZ37" s="60"/>
      <c r="BA37" s="60"/>
      <c r="BB37" s="23"/>
      <c r="BC37" s="23"/>
      <c r="BD37" s="23"/>
      <c r="BE37" s="23"/>
      <c r="BF37" s="60"/>
      <c r="BG37" s="60"/>
      <c r="BH37" s="60"/>
      <c r="BI37" s="60"/>
      <c r="BJ37" s="60"/>
      <c r="BK37" s="60"/>
      <c r="BL37" s="62"/>
      <c r="BM37" s="63"/>
      <c r="BN37" s="16"/>
      <c r="BO37" s="16"/>
      <c r="BP37" s="16"/>
      <c r="BQ37" s="64"/>
      <c r="BR37" s="64"/>
      <c r="BS37" s="65"/>
      <c r="BT37" s="65"/>
      <c r="BU37" s="62"/>
      <c r="BV37" s="62"/>
      <c r="BW37" s="62"/>
      <c r="BY37" s="66"/>
      <c r="BZ37" s="66"/>
      <c r="CA37" s="66"/>
      <c r="CB37" s="66"/>
      <c r="CC37" s="66"/>
      <c r="CD37" s="66"/>
      <c r="CE37" s="66"/>
      <c r="CR37" s="66"/>
      <c r="CS37" s="66"/>
      <c r="CT37" s="66"/>
      <c r="CZ37" s="16"/>
      <c r="DA37" s="16"/>
      <c r="DB37" s="16"/>
      <c r="DC37" s="16"/>
      <c r="DD37" s="16"/>
      <c r="DE37" s="16"/>
      <c r="DF37" s="16"/>
    </row>
    <row r="38" spans="1:110" s="47" customFormat="1" ht="12.75">
      <c r="A38" s="13"/>
      <c r="B38" s="14"/>
      <c r="C38" s="14"/>
      <c r="D38" s="14"/>
      <c r="E38" s="14"/>
      <c r="F38" s="14"/>
      <c r="G38" s="15"/>
      <c r="H38" s="88"/>
      <c r="I38" s="28" t="s">
        <v>148</v>
      </c>
      <c r="J38" s="22"/>
      <c r="K38" s="89" t="s">
        <v>107</v>
      </c>
      <c r="L38" s="23"/>
      <c r="M38" s="23"/>
      <c r="N38" s="23"/>
      <c r="O38" s="23"/>
      <c r="P38" s="61"/>
      <c r="Q38" s="61"/>
      <c r="R38" s="61"/>
      <c r="S38" s="23"/>
      <c r="T38" s="23"/>
      <c r="U38" s="23"/>
      <c r="V38" s="34"/>
      <c r="W38" s="34"/>
      <c r="X38" s="34"/>
      <c r="Y38" s="34"/>
      <c r="Z38" s="34"/>
      <c r="AA38" s="34"/>
      <c r="AB38" s="60"/>
      <c r="AC38" s="60"/>
      <c r="AD38" s="60"/>
      <c r="AE38" s="60"/>
      <c r="AF38" s="60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60"/>
      <c r="AW38" s="60"/>
      <c r="AX38" s="60"/>
      <c r="AY38" s="60"/>
      <c r="AZ38" s="60"/>
      <c r="BA38" s="60"/>
      <c r="BB38" s="34"/>
      <c r="BC38" s="34"/>
      <c r="BD38" s="34"/>
      <c r="BE38" s="34"/>
      <c r="BF38" s="60"/>
      <c r="BG38" s="60"/>
      <c r="BH38" s="60"/>
      <c r="BI38" s="60"/>
      <c r="BJ38" s="60"/>
      <c r="BK38" s="60"/>
      <c r="BL38" s="62"/>
      <c r="BM38" s="63"/>
      <c r="BN38" s="16"/>
      <c r="BO38" s="16"/>
      <c r="BP38" s="16"/>
      <c r="BQ38" s="64"/>
      <c r="BR38" s="64"/>
      <c r="BS38" s="65"/>
      <c r="BT38" s="65"/>
      <c r="BU38" s="62"/>
      <c r="BV38" s="62"/>
      <c r="BW38" s="62"/>
      <c r="BY38" s="66"/>
      <c r="BZ38" s="66"/>
      <c r="CA38" s="66"/>
      <c r="CB38" s="66"/>
      <c r="CC38" s="66"/>
      <c r="CD38" s="66"/>
      <c r="CE38" s="66"/>
      <c r="CR38" s="66"/>
      <c r="CS38" s="66"/>
      <c r="CT38" s="66"/>
      <c r="CZ38" s="16"/>
      <c r="DA38" s="16"/>
      <c r="DB38" s="16"/>
      <c r="DC38" s="16"/>
      <c r="DD38" s="16"/>
      <c r="DE38" s="16"/>
      <c r="DF38" s="16"/>
    </row>
    <row r="39" spans="1:110" s="47" customFormat="1" ht="12.75">
      <c r="A39" s="13"/>
      <c r="B39" s="14"/>
      <c r="C39" s="14"/>
      <c r="D39" s="14"/>
      <c r="E39" s="14"/>
      <c r="F39" s="14"/>
      <c r="G39" s="15"/>
      <c r="H39" s="58"/>
      <c r="I39" s="59" t="s">
        <v>36</v>
      </c>
      <c r="J39" s="22"/>
      <c r="K39" s="60"/>
      <c r="L39" s="23"/>
      <c r="M39" s="23"/>
      <c r="N39" s="23"/>
      <c r="O39" s="23"/>
      <c r="P39" s="61"/>
      <c r="Q39" s="61"/>
      <c r="R39" s="61"/>
      <c r="S39" s="23"/>
      <c r="T39" s="23"/>
      <c r="U39" s="23"/>
      <c r="V39" s="34"/>
      <c r="W39" s="34"/>
      <c r="X39" s="34"/>
      <c r="Y39" s="34"/>
      <c r="Z39" s="34"/>
      <c r="AA39" s="34"/>
      <c r="AB39" s="60"/>
      <c r="AC39" s="60"/>
      <c r="AD39" s="60"/>
      <c r="AE39" s="60"/>
      <c r="AF39" s="60"/>
      <c r="AG39" s="34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60"/>
      <c r="AW39" s="60"/>
      <c r="AX39" s="60"/>
      <c r="AY39" s="60"/>
      <c r="AZ39" s="60"/>
      <c r="BA39" s="60"/>
      <c r="BB39" s="23"/>
      <c r="BC39" s="23"/>
      <c r="BD39" s="23"/>
      <c r="BE39" s="23"/>
      <c r="BF39" s="60"/>
      <c r="BG39" s="60"/>
      <c r="BH39" s="60"/>
      <c r="BI39" s="60"/>
      <c r="BJ39" s="60"/>
      <c r="BK39" s="60"/>
      <c r="BL39" s="62"/>
      <c r="BM39" s="63"/>
      <c r="BN39" s="16"/>
      <c r="BO39" s="16"/>
      <c r="BP39" s="16"/>
      <c r="BQ39" s="64"/>
      <c r="BR39" s="64"/>
      <c r="BS39" s="65"/>
      <c r="BT39" s="65"/>
      <c r="BU39" s="62"/>
      <c r="BV39" s="62"/>
      <c r="BW39" s="62"/>
      <c r="BY39" s="66"/>
      <c r="BZ39" s="66"/>
      <c r="CA39" s="66"/>
      <c r="CB39" s="66"/>
      <c r="CC39" s="66"/>
      <c r="CD39" s="66"/>
      <c r="CE39" s="66"/>
      <c r="CZ39" s="16"/>
      <c r="DA39" s="16"/>
      <c r="DB39" s="16"/>
      <c r="DC39" s="16"/>
      <c r="DD39" s="16"/>
      <c r="DE39" s="16"/>
      <c r="DF39" s="16"/>
    </row>
    <row r="40" spans="1:110" s="47" customFormat="1" ht="12.75">
      <c r="A40" s="16"/>
      <c r="B40" s="16" t="s">
        <v>36</v>
      </c>
      <c r="C40" s="16"/>
      <c r="D40" s="16"/>
      <c r="E40" s="16"/>
      <c r="F40" s="16"/>
      <c r="G40" s="16"/>
      <c r="H40" s="68"/>
      <c r="I40" s="69"/>
      <c r="J40" s="23"/>
      <c r="K40" s="23"/>
      <c r="L40" s="23"/>
      <c r="M40" s="23"/>
      <c r="N40" s="23"/>
      <c r="O40" s="23"/>
      <c r="P40" s="61"/>
      <c r="Q40" s="61"/>
      <c r="R40" s="61"/>
      <c r="S40" s="23"/>
      <c r="T40" s="23"/>
      <c r="U40" s="23"/>
      <c r="V40" s="23"/>
      <c r="W40" s="23"/>
      <c r="X40" s="34"/>
      <c r="Y40" s="34"/>
      <c r="Z40" s="34"/>
      <c r="AA40" s="34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70"/>
      <c r="BM40" s="63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CZ40" s="16"/>
      <c r="DA40" s="16"/>
      <c r="DB40" s="16"/>
      <c r="DC40" s="16"/>
      <c r="DD40" s="16"/>
      <c r="DE40" s="16"/>
      <c r="DF40" s="16"/>
    </row>
    <row r="41" spans="1:110" s="47" customFormat="1" ht="12.75">
      <c r="A41" s="16"/>
      <c r="B41" s="17" t="s">
        <v>36</v>
      </c>
      <c r="C41" s="17"/>
      <c r="D41" s="17"/>
      <c r="E41" s="17"/>
      <c r="F41" s="17"/>
      <c r="G41" s="16"/>
      <c r="H41" s="16"/>
      <c r="I41" s="71" t="s">
        <v>36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24"/>
      <c r="AW41" s="24"/>
      <c r="AX41" s="24"/>
      <c r="AY41" s="24"/>
      <c r="AZ41" s="24"/>
      <c r="BA41" s="24"/>
      <c r="BB41" s="72"/>
      <c r="BC41" s="72"/>
      <c r="BD41" s="72"/>
      <c r="BE41" s="72"/>
      <c r="BF41" s="24"/>
      <c r="BG41" s="24"/>
      <c r="BH41" s="24"/>
      <c r="BI41" s="24"/>
      <c r="BJ41" s="24"/>
      <c r="BK41" s="24"/>
      <c r="BL41" s="73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CZ41" s="16"/>
      <c r="DA41" s="16"/>
      <c r="DB41" s="16"/>
      <c r="DC41" s="16"/>
      <c r="DD41" s="16"/>
      <c r="DE41" s="16"/>
      <c r="DF41" s="16"/>
    </row>
    <row r="42" spans="1:110" s="47" customFormat="1" ht="12.75">
      <c r="A42" s="16"/>
      <c r="B42" s="17" t="s">
        <v>36</v>
      </c>
      <c r="C42" s="17"/>
      <c r="D42" s="17"/>
      <c r="E42" s="17"/>
      <c r="F42" s="17"/>
      <c r="G42" s="18"/>
      <c r="H42" s="74"/>
      <c r="I42" s="75" t="s">
        <v>4</v>
      </c>
      <c r="J42" s="25"/>
      <c r="K42" s="35">
        <f aca="true" t="shared" si="109" ref="K42:AG42">SUBTOTAL(9,K4:K34)</f>
        <v>94647.89000000001</v>
      </c>
      <c r="L42" s="35">
        <f t="shared" si="109"/>
        <v>123379.92</v>
      </c>
      <c r="M42" s="35">
        <f t="shared" si="109"/>
        <v>1453171.08</v>
      </c>
      <c r="N42" s="35">
        <f t="shared" si="109"/>
        <v>114523.97</v>
      </c>
      <c r="O42" s="35">
        <f t="shared" si="109"/>
        <v>61521.13999999999</v>
      </c>
      <c r="P42" s="35">
        <f t="shared" si="109"/>
        <v>1847244</v>
      </c>
      <c r="Q42" s="35">
        <f t="shared" si="109"/>
        <v>1847244</v>
      </c>
      <c r="R42" s="35">
        <f t="shared" si="109"/>
        <v>0</v>
      </c>
      <c r="S42" s="35">
        <f t="shared" si="109"/>
        <v>0</v>
      </c>
      <c r="T42" s="35">
        <f t="shared" si="109"/>
        <v>0</v>
      </c>
      <c r="U42" s="35">
        <f t="shared" si="109"/>
        <v>1847244</v>
      </c>
      <c r="V42" s="35">
        <f t="shared" si="109"/>
        <v>0</v>
      </c>
      <c r="W42" s="35">
        <f t="shared" si="109"/>
        <v>0</v>
      </c>
      <c r="X42" s="35">
        <f t="shared" si="109"/>
        <v>14587</v>
      </c>
      <c r="Y42" s="35">
        <f t="shared" si="109"/>
        <v>0</v>
      </c>
      <c r="Z42" s="35">
        <f t="shared" si="109"/>
        <v>0</v>
      </c>
      <c r="AA42" s="35">
        <f t="shared" si="109"/>
        <v>0</v>
      </c>
      <c r="AB42" s="35">
        <f t="shared" si="109"/>
        <v>0</v>
      </c>
      <c r="AC42" s="35">
        <f t="shared" si="109"/>
        <v>55417</v>
      </c>
      <c r="AD42" s="35">
        <f t="shared" si="109"/>
        <v>0</v>
      </c>
      <c r="AE42" s="35">
        <f t="shared" si="109"/>
        <v>0</v>
      </c>
      <c r="AF42" s="35">
        <f t="shared" si="109"/>
        <v>438</v>
      </c>
      <c r="AG42" s="35">
        <f t="shared" si="109"/>
        <v>55855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>
        <f aca="true" t="shared" si="110" ref="AR42:BL42">SUBTOTAL(9,AR4:AR34)</f>
        <v>149740</v>
      </c>
      <c r="AS42" s="35">
        <f t="shared" si="110"/>
        <v>0</v>
      </c>
      <c r="AT42" s="35">
        <f t="shared" si="110"/>
        <v>0</v>
      </c>
      <c r="AU42" s="35">
        <f t="shared" si="110"/>
        <v>1182</v>
      </c>
      <c r="AV42" s="35">
        <f t="shared" si="110"/>
        <v>150922</v>
      </c>
      <c r="AW42" s="35">
        <f t="shared" si="110"/>
        <v>369432</v>
      </c>
      <c r="AX42" s="35">
        <f t="shared" si="110"/>
        <v>0</v>
      </c>
      <c r="AY42" s="35">
        <f t="shared" si="110"/>
        <v>0</v>
      </c>
      <c r="AZ42" s="35">
        <f t="shared" si="110"/>
        <v>2918</v>
      </c>
      <c r="BA42" s="35">
        <f t="shared" si="110"/>
        <v>372350</v>
      </c>
      <c r="BB42" s="35">
        <f t="shared" si="110"/>
        <v>0</v>
      </c>
      <c r="BC42" s="35">
        <f t="shared" si="110"/>
        <v>0</v>
      </c>
      <c r="BD42" s="35">
        <f t="shared" si="110"/>
        <v>0</v>
      </c>
      <c r="BE42" s="35">
        <f t="shared" si="110"/>
        <v>0</v>
      </c>
      <c r="BF42" s="35">
        <f t="shared" si="110"/>
        <v>0</v>
      </c>
      <c r="BG42" s="35">
        <f t="shared" si="110"/>
        <v>0</v>
      </c>
      <c r="BH42" s="35">
        <f t="shared" si="110"/>
        <v>0</v>
      </c>
      <c r="BI42" s="35">
        <f t="shared" si="110"/>
        <v>0</v>
      </c>
      <c r="BJ42" s="35">
        <f t="shared" si="110"/>
        <v>0</v>
      </c>
      <c r="BK42" s="35">
        <f t="shared" si="110"/>
        <v>0</v>
      </c>
      <c r="BL42" s="76">
        <f t="shared" si="110"/>
        <v>2440958</v>
      </c>
      <c r="BM42" s="77"/>
      <c r="BN42" s="77"/>
      <c r="BO42" s="77"/>
      <c r="BP42" s="77"/>
      <c r="BQ42" s="77"/>
      <c r="BR42" s="78"/>
      <c r="BS42" s="79"/>
      <c r="BT42" s="78"/>
      <c r="BU42" s="76">
        <f>SUBTOTAL(9,BU4:BU34)</f>
        <v>4881916</v>
      </c>
      <c r="BV42" s="76">
        <f>SUBTOTAL(9,BV4:BV34)</f>
        <v>0</v>
      </c>
      <c r="BW42" s="194">
        <f>SUBTOTAL(9,BW4:BW34)</f>
        <v>0</v>
      </c>
      <c r="BY42" s="55">
        <f aca="true" t="shared" si="111" ref="BY42:CT42">SUBTOTAL(9,BY4:BY34)</f>
        <v>455.34680000000003</v>
      </c>
      <c r="BZ42" s="55">
        <f t="shared" si="111"/>
        <v>0</v>
      </c>
      <c r="CA42" s="55">
        <f t="shared" si="111"/>
        <v>0</v>
      </c>
      <c r="CB42" s="55">
        <f t="shared" si="111"/>
        <v>0</v>
      </c>
      <c r="CC42" s="55">
        <f t="shared" si="111"/>
        <v>0</v>
      </c>
      <c r="CD42" s="55">
        <f t="shared" si="111"/>
        <v>0</v>
      </c>
      <c r="CE42" s="55">
        <f t="shared" si="111"/>
        <v>0</v>
      </c>
      <c r="CF42" s="55">
        <f t="shared" si="111"/>
        <v>1.3277004</v>
      </c>
      <c r="CG42" s="55">
        <f t="shared" si="111"/>
        <v>0</v>
      </c>
      <c r="CH42" s="55">
        <f t="shared" si="111"/>
        <v>0</v>
      </c>
      <c r="CI42" s="55">
        <f t="shared" si="111"/>
        <v>251.0598</v>
      </c>
      <c r="CJ42" s="55">
        <f t="shared" si="111"/>
        <v>0</v>
      </c>
      <c r="CK42" s="55">
        <f t="shared" si="111"/>
        <v>0</v>
      </c>
      <c r="CL42" s="55">
        <f t="shared" si="111"/>
        <v>0</v>
      </c>
      <c r="CM42" s="55">
        <f t="shared" si="111"/>
        <v>0</v>
      </c>
      <c r="CN42" s="55">
        <f t="shared" si="111"/>
        <v>0</v>
      </c>
      <c r="CO42" s="55">
        <f t="shared" si="111"/>
        <v>0</v>
      </c>
      <c r="CP42" s="55">
        <f t="shared" si="111"/>
        <v>84.3822</v>
      </c>
      <c r="CQ42" s="55">
        <f t="shared" si="111"/>
        <v>0</v>
      </c>
      <c r="CR42" s="55">
        <f t="shared" si="111"/>
        <v>0</v>
      </c>
      <c r="CS42" s="55">
        <f t="shared" si="111"/>
        <v>0</v>
      </c>
      <c r="CT42" s="55">
        <f t="shared" si="111"/>
        <v>0</v>
      </c>
      <c r="CZ42" s="16"/>
      <c r="DA42" s="16"/>
      <c r="DB42" s="16"/>
      <c r="DC42" s="16"/>
      <c r="DD42" s="16"/>
      <c r="DE42" s="16"/>
      <c r="DF42" s="16"/>
    </row>
    <row r="43" spans="1:9" ht="12.75">
      <c r="A43" s="19" t="s">
        <v>36</v>
      </c>
      <c r="I43" s="80"/>
    </row>
    <row r="44" spans="1:98" ht="12.75">
      <c r="A44" s="16"/>
      <c r="B44" s="16" t="s">
        <v>36</v>
      </c>
      <c r="C44" s="16"/>
      <c r="D44" s="16"/>
      <c r="E44" s="16"/>
      <c r="F44" s="16"/>
      <c r="G44" s="16" t="s">
        <v>36</v>
      </c>
      <c r="H44" s="16"/>
      <c r="I44" s="71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BB44" s="72"/>
      <c r="BC44" s="72"/>
      <c r="BD44" s="72"/>
      <c r="BE44" s="72"/>
      <c r="BT44" s="16"/>
      <c r="BU44" s="16"/>
      <c r="BV44" s="16"/>
      <c r="BW44" s="16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</row>
    <row r="49" ht="12.75">
      <c r="AA49" s="38"/>
    </row>
  </sheetData>
  <sheetProtection password="F647" sheet="1" objects="1" scenarios="1" selectLockedCells="1"/>
  <autoFilter ref="A3:DF36"/>
  <mergeCells count="1">
    <mergeCell ref="CV1:CY1"/>
  </mergeCells>
  <conditionalFormatting sqref="P4:P34">
    <cfRule type="cellIs" priority="4" dxfId="21" operator="notEqual" stopIfTrue="1">
      <formula>SUM(Q4:R4)</formula>
    </cfRule>
  </conditionalFormatting>
  <conditionalFormatting sqref="U4:U34">
    <cfRule type="cellIs" priority="5" dxfId="21" operator="notEqual" stopIfTrue="1">
      <formula>P4+S4+T4</formula>
    </cfRule>
  </conditionalFormatting>
  <conditionalFormatting sqref="DF4:DF33">
    <cfRule type="cellIs" priority="6" dxfId="22" operator="equal" stopIfTrue="1">
      <formula>TRUE</formula>
    </cfRule>
    <cfRule type="cellIs" priority="7" dxfId="23" operator="equal" stopIfTrue="1">
      <formula>FALSE</formula>
    </cfRule>
  </conditionalFormatting>
  <conditionalFormatting sqref="CV4:CY33 V8:BL34 V4:W7 Y4:BL7">
    <cfRule type="cellIs" priority="8" dxfId="21" operator="notEqual" stopIfTrue="1">
      <formula>ROUND(V4,0)</formula>
    </cfRule>
  </conditionalFormatting>
  <conditionalFormatting sqref="BY42:CT42 BY35:CE39 CR36:CT38 BY4:CT34">
    <cfRule type="cellIs" priority="9" dxfId="24" operator="greaterThanOrEqual" stopIfTrue="1">
      <formula>0</formula>
    </cfRule>
  </conditionalFormatting>
  <conditionalFormatting sqref="H4:H33">
    <cfRule type="cellIs" priority="10" dxfId="2" operator="notEqual" stopIfTrue="1">
      <formula>#REF!</formula>
    </cfRule>
  </conditionalFormatting>
  <conditionalFormatting sqref="G4:G39">
    <cfRule type="cellIs" priority="11" dxfId="25" operator="equal" stopIfTrue="1">
      <formula>"да"</formula>
    </cfRule>
  </conditionalFormatting>
  <conditionalFormatting sqref="BW4:BW33">
    <cfRule type="cellIs" priority="3" dxfId="24" operator="greaterThanOrEqual" stopIfTrue="1">
      <formula>0</formula>
    </cfRule>
  </conditionalFormatting>
  <conditionalFormatting sqref="H34">
    <cfRule type="cellIs" priority="2" dxfId="21" operator="notEqual" stopIfTrue="1">
      <formula>ROUND(H34,0)</formula>
    </cfRule>
  </conditionalFormatting>
  <conditionalFormatting sqref="X4:X7">
    <cfRule type="cellIs" priority="1" dxfId="21" operator="notEqual" stopIfTrue="1">
      <formula>ROUND(X4,0)</formula>
    </cfRule>
  </conditionalFormatting>
  <printOptions horizontalCentered="1"/>
  <pageMargins left="0.1968503937007874" right="0.1968503937007874" top="0.3937007874015748" bottom="0.1968503937007874" header="0.3937007874015748" footer="0.2755905511811024"/>
  <pageSetup fitToHeight="20" fitToWidth="1" horizontalDpi="600" verticalDpi="600" orientation="portrait" paperSize="9" scale="37" r:id="rId3"/>
  <headerFooter alignWithMargins="0">
    <oddFooter>&amp;L&amp;T &amp;D&amp;R&amp;"Times New Roman,обычный"&amp;9&amp;P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02"/>
  <sheetViews>
    <sheetView showGridLines="0" showZeros="0" zoomScaleSheetLayoutView="70" zoomScalePageLayoutView="0" workbookViewId="0" topLeftCell="A1">
      <selection activeCell="A39" sqref="A39:B39"/>
    </sheetView>
  </sheetViews>
  <sheetFormatPr defaultColWidth="9.140625" defaultRowHeight="12.75" outlineLevelRow="1"/>
  <cols>
    <col min="1" max="1" width="4.140625" style="92" customWidth="1"/>
    <col min="2" max="2" width="60.7109375" style="155" customWidth="1"/>
    <col min="3" max="3" width="31.7109375" style="92" customWidth="1"/>
    <col min="4" max="4" width="7.140625" style="92" customWidth="1"/>
    <col min="5" max="5" width="19.421875" style="92" customWidth="1"/>
    <col min="6" max="6" width="93.7109375" style="93" hidden="1" customWidth="1"/>
    <col min="7" max="7" width="60.7109375" style="161" customWidth="1"/>
    <col min="8" max="16384" width="9.140625" style="92" customWidth="1"/>
  </cols>
  <sheetData>
    <row r="1" spans="1:7" s="91" customFormat="1" ht="18.75">
      <c r="A1" s="207" t="s">
        <v>29</v>
      </c>
      <c r="B1" s="207"/>
      <c r="C1" s="207"/>
      <c r="E1" s="92"/>
      <c r="F1" s="93"/>
      <c r="G1" s="159"/>
    </row>
    <row r="2" spans="1:7" s="96" customFormat="1" ht="63">
      <c r="A2" s="206" t="str">
        <f>CONCATENATE("Предмет муниципального контракта: ",VLOOKUP($E$3,'Анализ стоимости'!$A$4:$DF$38,9,0))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2" s="206"/>
      <c r="C2" s="206"/>
      <c r="D2" s="94"/>
      <c r="E2" s="92"/>
      <c r="F2" s="95" t="str">
        <f>A2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G2" s="160"/>
    </row>
    <row r="3" spans="1:7" s="96" customFormat="1" ht="31.5">
      <c r="A3" s="205" t="str">
        <f>CONCATENATE("Наименование заказчика: ",'Анализ стоимости'!$I$36)</f>
        <v>Наименование заказчика: Администрация Сергиевского сельского поселения Кореновского района</v>
      </c>
      <c r="B3" s="205"/>
      <c r="C3" s="205"/>
      <c r="D3" s="94"/>
      <c r="E3" s="182">
        <v>31</v>
      </c>
      <c r="F3" s="93" t="str">
        <f>A3</f>
        <v>Наименование заказчика: Администрация Сергиевского сельского поселения Кореновского района</v>
      </c>
      <c r="G3" s="160"/>
    </row>
    <row r="4" spans="1:7" s="96" customFormat="1" ht="15.75">
      <c r="A4" s="196" t="s">
        <v>53</v>
      </c>
      <c r="B4" s="196"/>
      <c r="C4" s="196"/>
      <c r="D4" s="94"/>
      <c r="E4" s="92"/>
      <c r="F4" s="93"/>
      <c r="G4" s="160"/>
    </row>
    <row r="5" spans="1:4" ht="15.75">
      <c r="A5" s="197" t="s">
        <v>109</v>
      </c>
      <c r="B5" s="197"/>
      <c r="C5" s="197"/>
      <c r="D5" s="98"/>
    </row>
    <row r="6" spans="1:7" s="96" customFormat="1" ht="15.75">
      <c r="A6" s="197" t="str">
        <f>CONCATENATE("учетом сроков строительства и НДС: ",FIXED(C36,0)," руб.")</f>
        <v>учетом сроков строительства и НДС: 2 440 958 руб.</v>
      </c>
      <c r="B6" s="197"/>
      <c r="C6" s="97"/>
      <c r="D6" s="99"/>
      <c r="F6" s="100"/>
      <c r="G6" s="160"/>
    </row>
    <row r="7" spans="1:7" s="104" customFormat="1" ht="7.5" thickBot="1">
      <c r="A7" s="101"/>
      <c r="B7" s="102"/>
      <c r="C7" s="101"/>
      <c r="D7" s="103"/>
      <c r="F7" s="105"/>
      <c r="G7" s="162"/>
    </row>
    <row r="8" spans="1:6" ht="16.5" thickBot="1">
      <c r="A8" s="210" t="s">
        <v>54</v>
      </c>
      <c r="B8" s="211"/>
      <c r="C8" s="212"/>
      <c r="E8" s="156">
        <v>1</v>
      </c>
      <c r="F8" s="106"/>
    </row>
    <row r="9" spans="1:7" s="109" customFormat="1" ht="39" thickBot="1">
      <c r="A9" s="107" t="s">
        <v>28</v>
      </c>
      <c r="B9" s="108" t="s">
        <v>58</v>
      </c>
      <c r="C9" s="107" t="s">
        <v>141</v>
      </c>
      <c r="E9" s="156">
        <f>E8+1</f>
        <v>2</v>
      </c>
      <c r="F9" s="106"/>
      <c r="G9" s="163"/>
    </row>
    <row r="10" spans="1:7" s="109" customFormat="1" ht="15.75">
      <c r="A10" s="110">
        <v>1</v>
      </c>
      <c r="B10" s="111" t="s">
        <v>42</v>
      </c>
      <c r="C10" s="112">
        <f>VLOOKUP($E$3,'Анализ стоимости'!$A$4:$DF$38,11,0)</f>
        <v>94647.89000000001</v>
      </c>
      <c r="E10" s="156">
        <f aca="true" t="shared" si="0" ref="E10:E27">E9+1</f>
        <v>3</v>
      </c>
      <c r="F10" s="106"/>
      <c r="G10" s="163"/>
    </row>
    <row r="11" spans="1:7" s="109" customFormat="1" ht="15.75">
      <c r="A11" s="113">
        <v>2</v>
      </c>
      <c r="B11" s="114" t="s">
        <v>65</v>
      </c>
      <c r="C11" s="115">
        <f>VLOOKUP($E$3,'Анализ стоимости'!$A$4:$DF$38,12,0)</f>
        <v>123379.92</v>
      </c>
      <c r="E11" s="156">
        <f t="shared" si="0"/>
        <v>4</v>
      </c>
      <c r="F11" s="106"/>
      <c r="G11" s="163"/>
    </row>
    <row r="12" spans="1:7" s="109" customFormat="1" ht="31.5">
      <c r="A12" s="113">
        <v>3</v>
      </c>
      <c r="B12" s="114" t="s">
        <v>75</v>
      </c>
      <c r="C12" s="115">
        <f>VLOOKUP($E$3,'Анализ стоимости'!$A$4:$DF$38,13,0)</f>
        <v>1453171.08</v>
      </c>
      <c r="E12" s="156">
        <f t="shared" si="0"/>
        <v>5</v>
      </c>
      <c r="F12" s="106"/>
      <c r="G12" s="163"/>
    </row>
    <row r="13" spans="1:7" s="109" customFormat="1" ht="15.75">
      <c r="A13" s="113">
        <v>4</v>
      </c>
      <c r="B13" s="114" t="s">
        <v>66</v>
      </c>
      <c r="C13" s="115">
        <f>VLOOKUP($E$3,'Анализ стоимости'!$A$4:$DF$38,14,0)</f>
        <v>114523.97</v>
      </c>
      <c r="E13" s="156">
        <f t="shared" si="0"/>
        <v>6</v>
      </c>
      <c r="F13" s="106"/>
      <c r="G13" s="163"/>
    </row>
    <row r="14" spans="1:7" s="109" customFormat="1" ht="15.75">
      <c r="A14" s="113">
        <v>5</v>
      </c>
      <c r="B14" s="114" t="s">
        <v>76</v>
      </c>
      <c r="C14" s="115">
        <f>VLOOKUP($E$3,'Анализ стоимости'!$A$4:$DF$38,15,0)</f>
        <v>61521.13999999999</v>
      </c>
      <c r="E14" s="156">
        <f t="shared" si="0"/>
        <v>7</v>
      </c>
      <c r="F14" s="106"/>
      <c r="G14" s="163"/>
    </row>
    <row r="15" spans="1:7" s="109" customFormat="1" ht="15.75">
      <c r="A15" s="113">
        <v>6</v>
      </c>
      <c r="B15" s="114" t="s">
        <v>33</v>
      </c>
      <c r="C15" s="115">
        <f>VLOOKUP($E$3,'Анализ стоимости'!$A$4:$DF$38,19,0)</f>
        <v>0</v>
      </c>
      <c r="E15" s="156">
        <f t="shared" si="0"/>
        <v>8</v>
      </c>
      <c r="F15" s="93"/>
      <c r="G15" s="163"/>
    </row>
    <row r="16" spans="1:7" s="109" customFormat="1" ht="15.75">
      <c r="A16" s="113">
        <v>7</v>
      </c>
      <c r="B16" s="114" t="s">
        <v>51</v>
      </c>
      <c r="C16" s="115">
        <f>VLOOKUP($E$3,'Анализ стоимости'!$A$4:$DF$38,20,0)+VLOOKUP($E$3,'Анализ стоимости'!$A$4:$DF$38,22,0)+VLOOKUP($E$3,'Анализ стоимости'!$A$4:$DF$38,23,0)+VLOOKUP($E$3,'Анализ стоимости'!$A$4:$DF$38,24,0)+VLOOKUP($E$3,'Анализ стоимости'!$A$4:$DF$38,25,0)+VLOOKUP($E$3,'Анализ стоимости'!$A$4:$DF$38,26,0)+VLOOKUP($E$3,'Анализ стоимости'!$A$4:$DF$38,27,0)+VLOOKUP($E$3,'Анализ стоимости'!$A$4:$DF$38,28,0)+VLOOKUP($E$3,'Анализ стоимости'!$A$4:$DF$38,33,0)</f>
        <v>70442</v>
      </c>
      <c r="E16" s="156">
        <f t="shared" si="0"/>
        <v>9</v>
      </c>
      <c r="F16" s="93"/>
      <c r="G16" s="163"/>
    </row>
    <row r="17" spans="1:7" s="109" customFormat="1" ht="16.5" thickBot="1">
      <c r="A17" s="116"/>
      <c r="B17" s="117" t="s">
        <v>69</v>
      </c>
      <c r="C17" s="118">
        <f>SUM(C10:C16)</f>
        <v>1917686</v>
      </c>
      <c r="E17" s="156">
        <f t="shared" si="0"/>
        <v>10</v>
      </c>
      <c r="F17" s="93"/>
      <c r="G17" s="163"/>
    </row>
    <row r="18" spans="1:5" ht="16.5" thickBot="1">
      <c r="A18" s="208" t="s">
        <v>59</v>
      </c>
      <c r="B18" s="208"/>
      <c r="C18" s="208"/>
      <c r="E18" s="156">
        <f t="shared" si="0"/>
        <v>11</v>
      </c>
    </row>
    <row r="19" spans="1:5" ht="26.25" thickBot="1">
      <c r="A19" s="119" t="s">
        <v>28</v>
      </c>
      <c r="B19" s="108" t="s">
        <v>38</v>
      </c>
      <c r="C19" s="107" t="s">
        <v>60</v>
      </c>
      <c r="E19" s="156">
        <f t="shared" si="0"/>
        <v>12</v>
      </c>
    </row>
    <row r="20" spans="1:7" s="109" customFormat="1" ht="15.75">
      <c r="A20" s="120"/>
      <c r="B20" s="121" t="s">
        <v>111</v>
      </c>
      <c r="C20" s="122"/>
      <c r="E20" s="156">
        <f t="shared" si="0"/>
        <v>13</v>
      </c>
      <c r="F20" s="93"/>
      <c r="G20" s="163"/>
    </row>
    <row r="21" spans="1:7" s="109" customFormat="1" ht="15.75">
      <c r="A21" s="120"/>
      <c r="B21" s="114" t="s">
        <v>39</v>
      </c>
      <c r="C21" s="123">
        <f>IF(VLOOKUP($E$3,'Анализ стоимости'!$A$4:$DF$38,65,0)=0,0,DATE(2012,VLOOKUP($E$3,'Анализ стоимости'!$A$4:$DF$38,65,0),15))</f>
        <v>0</v>
      </c>
      <c r="E21" s="156">
        <f t="shared" si="0"/>
        <v>14</v>
      </c>
      <c r="F21" s="93"/>
      <c r="G21" s="163"/>
    </row>
    <row r="22" spans="1:7" s="109" customFormat="1" ht="15.75">
      <c r="A22" s="120"/>
      <c r="B22" s="114" t="s">
        <v>31</v>
      </c>
      <c r="C22" s="123">
        <f>IF(C21=0,0,DATE(2012,VLOOKUP($E$3,'Анализ стоимости'!$A$4:$DF$38,66,0),15))</f>
        <v>0</v>
      </c>
      <c r="E22" s="156">
        <f t="shared" si="0"/>
        <v>15</v>
      </c>
      <c r="F22" s="93"/>
      <c r="G22" s="163"/>
    </row>
    <row r="23" spans="1:7" s="109" customFormat="1" ht="25.5">
      <c r="A23" s="120"/>
      <c r="B23" s="124" t="s">
        <v>104</v>
      </c>
      <c r="C23" s="125">
        <f>IF(C21=0,0,VLOOKUP($E$3,'Анализ стоимости'!$A$4:$DF$38,71,0)+1)</f>
        <v>0</v>
      </c>
      <c r="E23" s="156">
        <f t="shared" si="0"/>
        <v>16</v>
      </c>
      <c r="F23" s="93"/>
      <c r="G23" s="163"/>
    </row>
    <row r="24" spans="1:7" s="109" customFormat="1" ht="15.75">
      <c r="A24" s="120"/>
      <c r="B24" s="126" t="s">
        <v>139</v>
      </c>
      <c r="C24" s="127">
        <f>VLOOKUP($E$3,'Анализ стоимости'!$A$4:$DF$38,43,0)</f>
        <v>1917686</v>
      </c>
      <c r="E24" s="156">
        <f t="shared" si="0"/>
        <v>17</v>
      </c>
      <c r="F24" s="93"/>
      <c r="G24" s="163"/>
    </row>
    <row r="25" spans="1:7" s="109" customFormat="1" ht="15.75">
      <c r="A25" s="120"/>
      <c r="B25" s="114" t="s">
        <v>32</v>
      </c>
      <c r="C25" s="115">
        <f>VLOOKUP($E$3,'Анализ стоимости'!$A$4:$DF$38,48,0)</f>
        <v>150922</v>
      </c>
      <c r="E25" s="156">
        <f t="shared" si="0"/>
        <v>18</v>
      </c>
      <c r="F25" s="93"/>
      <c r="G25" s="163"/>
    </row>
    <row r="26" spans="1:7" s="109" customFormat="1" ht="15.75">
      <c r="A26" s="120"/>
      <c r="B26" s="114" t="s">
        <v>82</v>
      </c>
      <c r="C26" s="115">
        <f>VLOOKUP($E$3,'Анализ стоимости'!$A$4:$DF$38,53,0)</f>
        <v>372350</v>
      </c>
      <c r="E26" s="156">
        <f t="shared" si="0"/>
        <v>19</v>
      </c>
      <c r="F26" s="93"/>
      <c r="G26" s="163"/>
    </row>
    <row r="27" spans="1:7" s="109" customFormat="1" ht="16.5" thickBot="1">
      <c r="A27" s="128"/>
      <c r="B27" s="129" t="s">
        <v>140</v>
      </c>
      <c r="C27" s="130">
        <f>SUM(C24:C26)</f>
        <v>2440958</v>
      </c>
      <c r="E27" s="156">
        <f t="shared" si="0"/>
        <v>20</v>
      </c>
      <c r="F27" s="93"/>
      <c r="G27" s="163"/>
    </row>
    <row r="28" spans="1:7" s="109" customFormat="1" ht="15.75" hidden="1" outlineLevel="1">
      <c r="A28" s="131"/>
      <c r="B28" s="132" t="s">
        <v>136</v>
      </c>
      <c r="C28" s="133"/>
      <c r="F28" s="93"/>
      <c r="G28" s="163"/>
    </row>
    <row r="29" spans="1:7" s="109" customFormat="1" ht="15.75" hidden="1" outlineLevel="1">
      <c r="A29" s="120"/>
      <c r="B29" s="114" t="s">
        <v>39</v>
      </c>
      <c r="C29" s="123">
        <f>IF(VLOOKUP($E$3,'Анализ стоимости'!$A$4:$DF$38,7,0)="да",IF(VLOOKUP($E$3,'Анализ стоимости'!$A$4:$DF$38,67,0)=0,0,DATE(2013,VLOOKUP($E$3,'Анализ стоимости'!$A$4:$DF$38,67,0),15)),0)</f>
        <v>0</v>
      </c>
      <c r="F29" s="93"/>
      <c r="G29" s="163"/>
    </row>
    <row r="30" spans="1:7" s="109" customFormat="1" ht="15.75" hidden="1" outlineLevel="1">
      <c r="A30" s="120"/>
      <c r="B30" s="114" t="s">
        <v>31</v>
      </c>
      <c r="C30" s="123">
        <f>IF(C29=0,0,DATE(2013,VLOOKUP($E$3,'Анализ стоимости'!$A$4:$DF$38,68,0),15))</f>
        <v>0</v>
      </c>
      <c r="F30" s="93"/>
      <c r="G30" s="163"/>
    </row>
    <row r="31" spans="1:7" s="109" customFormat="1" ht="25.5" hidden="1" outlineLevel="1">
      <c r="A31" s="120"/>
      <c r="B31" s="124" t="s">
        <v>104</v>
      </c>
      <c r="C31" s="125">
        <f>IF(C29=0,0,VLOOKUP($E$3,'Анализ стоимости'!$A$4:$DF$38,72,0)+1)</f>
        <v>0</v>
      </c>
      <c r="F31" s="93"/>
      <c r="G31" s="163"/>
    </row>
    <row r="32" spans="1:7" s="109" customFormat="1" ht="15.75" hidden="1" outlineLevel="1">
      <c r="A32" s="120"/>
      <c r="B32" s="134" t="s">
        <v>137</v>
      </c>
      <c r="C32" s="115">
        <f>C17-C24</f>
        <v>0</v>
      </c>
      <c r="E32" s="94"/>
      <c r="F32" s="93"/>
      <c r="G32" s="163"/>
    </row>
    <row r="33" spans="1:7" s="109" customFormat="1" ht="15.75" hidden="1" outlineLevel="1">
      <c r="A33" s="120"/>
      <c r="B33" s="114" t="s">
        <v>32</v>
      </c>
      <c r="C33" s="115">
        <f>VLOOKUP($E$3,'Анализ стоимости'!$A$4:$DF$38,58,0)</f>
        <v>0</v>
      </c>
      <c r="E33" s="94"/>
      <c r="F33" s="93"/>
      <c r="G33" s="163"/>
    </row>
    <row r="34" spans="1:7" s="109" customFormat="1" ht="15.75" hidden="1" outlineLevel="1">
      <c r="A34" s="120"/>
      <c r="B34" s="114" t="s">
        <v>82</v>
      </c>
      <c r="C34" s="115">
        <f>VLOOKUP($E$3,'Анализ стоимости'!$A$4:$DF$38,63,0)</f>
        <v>0</v>
      </c>
      <c r="E34" s="94"/>
      <c r="F34" s="93"/>
      <c r="G34" s="163"/>
    </row>
    <row r="35" spans="1:7" s="109" customFormat="1" ht="16.5" hidden="1" outlineLevel="1" thickBot="1">
      <c r="A35" s="128"/>
      <c r="B35" s="129" t="s">
        <v>138</v>
      </c>
      <c r="C35" s="130">
        <f>SUM(C32:C34)</f>
        <v>0</v>
      </c>
      <c r="E35" s="94"/>
      <c r="F35" s="93"/>
      <c r="G35" s="163"/>
    </row>
    <row r="36" spans="1:7" s="109" customFormat="1" ht="16.5" hidden="1" outlineLevel="1" thickBot="1">
      <c r="A36" s="135"/>
      <c r="B36" s="136" t="s">
        <v>70</v>
      </c>
      <c r="C36" s="130">
        <f>ROUND(C27+C35,0)</f>
        <v>2440958</v>
      </c>
      <c r="F36" s="93"/>
      <c r="G36" s="163"/>
    </row>
    <row r="37" spans="1:7" s="96" customFormat="1" ht="15.75" collapsed="1">
      <c r="A37" s="137"/>
      <c r="B37" s="138"/>
      <c r="C37" s="139"/>
      <c r="E37" s="156">
        <f>E27+1</f>
        <v>21</v>
      </c>
      <c r="F37" s="93"/>
      <c r="G37" s="160"/>
    </row>
    <row r="38" spans="1:7" s="96" customFormat="1" ht="15.75">
      <c r="A38" s="137"/>
      <c r="B38" s="138"/>
      <c r="C38" s="139"/>
      <c r="E38" s="156">
        <f>E37+1</f>
        <v>22</v>
      </c>
      <c r="F38" s="93"/>
      <c r="G38" s="160"/>
    </row>
    <row r="39" spans="1:7" s="143" customFormat="1" ht="31.5">
      <c r="A39" s="209" t="str">
        <f>'Анализ стоимости'!$I$37</f>
        <v>Глава Сергиевского сельского поселения Кореновского района</v>
      </c>
      <c r="B39" s="209"/>
      <c r="C39" s="158" t="str">
        <f>CONCATENATE("_____________________ ",'Анализ стоимости'!$I$38)</f>
        <v>_____________________ С.А. Басеев </v>
      </c>
      <c r="D39" s="141"/>
      <c r="E39" s="156">
        <f>E38+1</f>
        <v>23</v>
      </c>
      <c r="F39" s="93"/>
      <c r="G39" s="164" t="str">
        <f>A39</f>
        <v>Глава Сергиевского сельского поселения Кореновского района</v>
      </c>
    </row>
    <row r="40" spans="2:8" s="96" customFormat="1" ht="15.75">
      <c r="B40" s="144"/>
      <c r="D40" s="145"/>
      <c r="E40" s="156">
        <f>E39+1</f>
        <v>24</v>
      </c>
      <c r="F40" s="93"/>
      <c r="G40" s="160"/>
      <c r="H40" s="140">
        <f>VLOOKUP($E$3,'Анализ стоимости'!$A$4:$DF$38,73,0)</f>
        <v>2440958</v>
      </c>
    </row>
    <row r="41" spans="1:255" s="96" customFormat="1" ht="15.75">
      <c r="A41" s="196"/>
      <c r="B41" s="196"/>
      <c r="C41" s="94"/>
      <c r="D41" s="94"/>
      <c r="E41" s="156">
        <f aca="true" t="shared" si="1" ref="E41:E46">E40+1</f>
        <v>25</v>
      </c>
      <c r="F41" s="196"/>
      <c r="G41" s="196"/>
      <c r="H41" s="140">
        <f>VLOOKUP($E$3,'Анализ стоимости'!$A$4:$DF$38,64)</f>
        <v>2440958</v>
      </c>
      <c r="I41" s="157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</row>
    <row r="42" spans="1:255" s="96" customFormat="1" ht="15.75">
      <c r="A42" s="196"/>
      <c r="B42" s="196"/>
      <c r="C42" s="94"/>
      <c r="D42" s="94"/>
      <c r="E42" s="156">
        <f t="shared" si="1"/>
        <v>26</v>
      </c>
      <c r="F42" s="196"/>
      <c r="G42" s="196"/>
      <c r="H42" s="142">
        <f>E78+E120+E162+E204+E246+E288+E330+E372+E414+E456+E498+E540+E582+E624+E666+E708+E750+E792+E834+E876+E918+E960+E1002+E1044</f>
        <v>2440958</v>
      </c>
      <c r="I42" s="157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</row>
    <row r="43" spans="1:5" ht="18.75">
      <c r="A43" s="207" t="s">
        <v>35</v>
      </c>
      <c r="B43" s="207"/>
      <c r="C43" s="207"/>
      <c r="E43" s="156">
        <f t="shared" si="1"/>
        <v>27</v>
      </c>
    </row>
    <row r="44" spans="1:6" ht="63">
      <c r="A44" s="206" t="str">
        <f>F44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44" s="206"/>
      <c r="C44" s="206"/>
      <c r="E44" s="156">
        <f>E43+1</f>
        <v>28</v>
      </c>
      <c r="F4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45" spans="1:6" ht="31.5">
      <c r="A45" s="206" t="str">
        <f>F45</f>
        <v>Наименование объекта: Ремонт пер.Тополиного от а/д ст-ца Платнировская-ст-ца Сергиевская-ст-ца Дядьковская до ул.Северной в х.Нижнем</v>
      </c>
      <c r="B45" s="206"/>
      <c r="C45" s="206"/>
      <c r="E45" s="156">
        <f t="shared" si="1"/>
        <v>29</v>
      </c>
      <c r="F45" s="146" t="str">
        <f>CONCATENATE("Наименование объекта: ",VLOOKUP($E$8,'Анализ стоимости'!$A$4:$DF$38,9,0))</f>
        <v>Наименование объекта: Ремонт пер.Тополиного от а/д ст-ца Платнировская-ст-ца Сергиевская-ст-ца Дядьковская до ул.Северной в х.Нижнем</v>
      </c>
    </row>
    <row r="46" spans="1:5" ht="15.75">
      <c r="A46" s="196" t="s">
        <v>53</v>
      </c>
      <c r="B46" s="196"/>
      <c r="C46" s="196"/>
      <c r="E46" s="156">
        <f t="shared" si="1"/>
        <v>30</v>
      </c>
    </row>
    <row r="47" spans="1:3" ht="15.75">
      <c r="A47" s="197" t="s">
        <v>109</v>
      </c>
      <c r="B47" s="197"/>
      <c r="C47" s="197"/>
    </row>
    <row r="48" spans="1:3" ht="15.75">
      <c r="A48" s="197" t="str">
        <f>CONCATENATE("учетом сроков строительства и НДС: ",FIXED(C78,0)," руб.")</f>
        <v>учетом сроков строительства и НДС: 335 539 руб.</v>
      </c>
      <c r="B48" s="197"/>
      <c r="C48" s="97"/>
    </row>
    <row r="49" spans="1:7" s="104" customFormat="1" ht="7.5" thickBot="1">
      <c r="A49" s="148"/>
      <c r="B49" s="149"/>
      <c r="C49" s="148"/>
      <c r="F49" s="150"/>
      <c r="G49" s="162"/>
    </row>
    <row r="50" spans="1:3" ht="17.25" thickBot="1" thickTop="1">
      <c r="A50" s="198" t="s">
        <v>54</v>
      </c>
      <c r="B50" s="199"/>
      <c r="C50" s="200"/>
    </row>
    <row r="51" spans="1:3" ht="39" thickBot="1">
      <c r="A51" s="107" t="s">
        <v>28</v>
      </c>
      <c r="B51" s="108" t="s">
        <v>58</v>
      </c>
      <c r="C51" s="107" t="s">
        <v>141</v>
      </c>
    </row>
    <row r="52" spans="1:3" ht="15.75">
      <c r="A52" s="110">
        <v>1</v>
      </c>
      <c r="B52" s="111" t="s">
        <v>42</v>
      </c>
      <c r="C52" s="112">
        <f>VLOOKUP($E$8,'Анализ стоимости'!$A$4:$DF$38,11,0)</f>
        <v>11539.92</v>
      </c>
    </row>
    <row r="53" spans="1:3" ht="15.75">
      <c r="A53" s="113">
        <v>2</v>
      </c>
      <c r="B53" s="114" t="s">
        <v>65</v>
      </c>
      <c r="C53" s="115">
        <f>VLOOKUP($E$8,'Анализ стоимости'!$A$4:$DF$38,12,0)</f>
        <v>14829.26</v>
      </c>
    </row>
    <row r="54" spans="1:3" ht="31.5">
      <c r="A54" s="113">
        <v>3</v>
      </c>
      <c r="B54" s="114" t="s">
        <v>75</v>
      </c>
      <c r="C54" s="115">
        <f>VLOOKUP($E$8,'Анализ стоимости'!$A$4:$DF$38,13,0)</f>
        <v>205563.57</v>
      </c>
    </row>
    <row r="55" spans="1:3" ht="15.75">
      <c r="A55" s="113">
        <v>4</v>
      </c>
      <c r="B55" s="114" t="s">
        <v>66</v>
      </c>
      <c r="C55" s="115">
        <f>VLOOKUP($E$8,'Анализ стоимости'!$A$4:$DF$38,14,0)</f>
        <v>13963.3</v>
      </c>
    </row>
    <row r="56" spans="1:3" ht="15.75">
      <c r="A56" s="113">
        <v>5</v>
      </c>
      <c r="B56" s="114" t="s">
        <v>76</v>
      </c>
      <c r="C56" s="115">
        <f>VLOOKUP($E$8,'Анализ стоимости'!$A$4:$DF$38,15,0)</f>
        <v>7500.95</v>
      </c>
    </row>
    <row r="57" spans="1:3" ht="15.75">
      <c r="A57" s="113">
        <v>6</v>
      </c>
      <c r="B57" s="114" t="s">
        <v>33</v>
      </c>
      <c r="C57" s="115">
        <f>VLOOKUP($E$8,'Анализ стоимости'!$A$4:$DF$38,19,0)</f>
        <v>0</v>
      </c>
    </row>
    <row r="58" spans="1:3" ht="15.75">
      <c r="A58" s="113">
        <v>7</v>
      </c>
      <c r="B58" s="114" t="s">
        <v>51</v>
      </c>
      <c r="C58" s="115">
        <f>VLOOKUP($E$8,'Анализ стоимости'!$A$4:$DF$38,20,0)+VLOOKUP($E$8,'Анализ стоимости'!$A$4:$DF$38,22,0)+VLOOKUP($E$8,'Анализ стоимости'!$A$4:$DF$38,23,0)+VLOOKUP($E$8,'Анализ стоимости'!$A$4:$DF$38,24,0)+VLOOKUP($E$8,'Анализ стоимости'!$A$4:$DF$38,25,0)+VLOOKUP($E$8,'Анализ стоимости'!$A$4:$DF$38,26,0)+VLOOKUP($E$8,'Анализ стоимости'!$A$4:$DF$38,27,0)+VLOOKUP($E$8,'Анализ стоимости'!$A$4:$DF$38,28,0)+VLOOKUP($E$8,'Анализ стоимости'!$A$4:$DF$38,33,0)</f>
        <v>10212</v>
      </c>
    </row>
    <row r="59" spans="1:9" ht="16.5" thickBot="1">
      <c r="A59" s="116"/>
      <c r="B59" s="117" t="s">
        <v>69</v>
      </c>
      <c r="C59" s="118">
        <f>SUM(C52:C58)</f>
        <v>263609</v>
      </c>
      <c r="H59" s="109"/>
      <c r="I59" s="109"/>
    </row>
    <row r="60" spans="1:3" ht="16.5" thickBot="1">
      <c r="A60" s="201" t="s">
        <v>59</v>
      </c>
      <c r="B60" s="202"/>
      <c r="C60" s="203"/>
    </row>
    <row r="61" spans="1:3" ht="26.25" thickBot="1">
      <c r="A61" s="119" t="s">
        <v>28</v>
      </c>
      <c r="B61" s="108" t="s">
        <v>38</v>
      </c>
      <c r="C61" s="107" t="s">
        <v>60</v>
      </c>
    </row>
    <row r="62" spans="1:3" ht="15.75">
      <c r="A62" s="120"/>
      <c r="B62" s="121" t="s">
        <v>111</v>
      </c>
      <c r="C62" s="122"/>
    </row>
    <row r="63" spans="1:3" ht="15.75">
      <c r="A63" s="120"/>
      <c r="B63" s="114" t="s">
        <v>39</v>
      </c>
      <c r="C63" s="123">
        <f>IF(VLOOKUP($E$8,'Анализ стоимости'!$A$4:$DF$38,65,0)=0,0,DATE(2012,VLOOKUP($E$8,'Анализ стоимости'!$A$4:$DF$38,65,0),15))</f>
        <v>41136</v>
      </c>
    </row>
    <row r="64" spans="1:3" ht="15.75">
      <c r="A64" s="120"/>
      <c r="B64" s="114" t="s">
        <v>31</v>
      </c>
      <c r="C64" s="123">
        <f>IF(C63=0,0,DATE(2012,VLOOKUP($E$8,'Анализ стоимости'!$A$4:$DF$38,66,0),15))</f>
        <v>41136</v>
      </c>
    </row>
    <row r="65" spans="1:3" ht="25.5">
      <c r="A65" s="120"/>
      <c r="B65" s="124" t="s">
        <v>104</v>
      </c>
      <c r="C65" s="125">
        <f>IF(C63=0,0,VLOOKUP($E$8,'Анализ стоимости'!$A$4:$DF$38,71,0)+1)</f>
        <v>1.0787</v>
      </c>
    </row>
    <row r="66" spans="1:3" ht="15.75">
      <c r="A66" s="120"/>
      <c r="B66" s="134" t="s">
        <v>112</v>
      </c>
      <c r="C66" s="127">
        <f>VLOOKUP($E$8,'Анализ стоимости'!$A$4:$DF$38,43,0)</f>
        <v>263609</v>
      </c>
    </row>
    <row r="67" spans="1:3" ht="15.75">
      <c r="A67" s="120"/>
      <c r="B67" s="114" t="s">
        <v>32</v>
      </c>
      <c r="C67" s="115">
        <f>VLOOKUP($E$8,'Анализ стоимости'!$A$4:$DF$38,48,0)</f>
        <v>20746</v>
      </c>
    </row>
    <row r="68" spans="1:5" ht="15.75">
      <c r="A68" s="120"/>
      <c r="B68" s="114" t="s">
        <v>82</v>
      </c>
      <c r="C68" s="115">
        <f>VLOOKUP($E$8,'Анализ стоимости'!$A$4:$DF$38,53,0)</f>
        <v>51184</v>
      </c>
      <c r="E68" s="140">
        <f>VLOOKUP($E$8,'Анализ стоимости'!$A$4:$DF$38,73,0)</f>
        <v>335539</v>
      </c>
    </row>
    <row r="69" spans="1:5" ht="16.5" thickBot="1">
      <c r="A69" s="128"/>
      <c r="B69" s="129" t="s">
        <v>140</v>
      </c>
      <c r="C69" s="130">
        <f>SUM(C66:C68)</f>
        <v>335539</v>
      </c>
      <c r="E69" s="140">
        <f>VLOOKUP($E$8,'Анализ стоимости'!$A$4:$DF$38,64)</f>
        <v>335539</v>
      </c>
    </row>
    <row r="70" spans="1:3" ht="15.75" hidden="1" outlineLevel="1">
      <c r="A70" s="131"/>
      <c r="B70" s="132" t="s">
        <v>136</v>
      </c>
      <c r="C70" s="133"/>
    </row>
    <row r="71" spans="1:3" ht="15.75" hidden="1" outlineLevel="1">
      <c r="A71" s="120"/>
      <c r="B71" s="114" t="s">
        <v>39</v>
      </c>
      <c r="C71" s="123">
        <f>IF(VLOOKUP($E$8,'Анализ стоимости'!$A$4:$DF$38,7,0)="да",IF(VLOOKUP($E$8,'Анализ стоимости'!$A$4:$DF$38,67,0)=0,0,DATE(2013,VLOOKUP($E$8,'Анализ стоимости'!$A$4:$DF$38,67,0),15)),0)</f>
        <v>0</v>
      </c>
    </row>
    <row r="72" spans="1:3" ht="15.75" hidden="1" outlineLevel="1">
      <c r="A72" s="120"/>
      <c r="B72" s="114" t="s">
        <v>31</v>
      </c>
      <c r="C72" s="123">
        <f>IF(C71=0,0,DATE(2013,VLOOKUP($E$8,'Анализ стоимости'!$A$4:$DF$38,68,0),15))</f>
        <v>0</v>
      </c>
    </row>
    <row r="73" spans="1:3" ht="25.5" hidden="1" outlineLevel="1">
      <c r="A73" s="120"/>
      <c r="B73" s="124" t="s">
        <v>104</v>
      </c>
      <c r="C73" s="125">
        <f>IF(C71=0,0,VLOOKUP($E$8,'Анализ стоимости'!$A$4:$DF$38,72,0)+1)</f>
        <v>0</v>
      </c>
    </row>
    <row r="74" spans="1:3" ht="15.75" hidden="1" outlineLevel="1">
      <c r="A74" s="120"/>
      <c r="B74" s="134" t="s">
        <v>137</v>
      </c>
      <c r="C74" s="115">
        <f>C59-C66</f>
        <v>0</v>
      </c>
    </row>
    <row r="75" spans="1:3" ht="15.75" hidden="1" outlineLevel="1">
      <c r="A75" s="120"/>
      <c r="B75" s="114" t="s">
        <v>32</v>
      </c>
      <c r="C75" s="115">
        <f>VLOOKUP($E$8,'Анализ стоимости'!$A$4:$DF$38,58,0)</f>
        <v>0</v>
      </c>
    </row>
    <row r="76" spans="1:3" ht="15.75" hidden="1" outlineLevel="1">
      <c r="A76" s="120"/>
      <c r="B76" s="114" t="s">
        <v>82</v>
      </c>
      <c r="C76" s="115">
        <f>VLOOKUP($E$8,'Анализ стоимости'!$A$4:$DF$38,63,0)</f>
        <v>0</v>
      </c>
    </row>
    <row r="77" spans="1:3" ht="16.5" hidden="1" outlineLevel="1" thickBot="1">
      <c r="A77" s="128"/>
      <c r="B77" s="129" t="s">
        <v>138</v>
      </c>
      <c r="C77" s="130">
        <f>SUM(C74:C76)</f>
        <v>0</v>
      </c>
    </row>
    <row r="78" spans="1:5" ht="16.5" hidden="1" outlineLevel="1" collapsed="1" thickBot="1">
      <c r="A78" s="135"/>
      <c r="B78" s="136" t="s">
        <v>70</v>
      </c>
      <c r="C78" s="151">
        <f>ROUND(C69+C77,0)</f>
        <v>335539</v>
      </c>
      <c r="E78" s="152">
        <f>IF(E$8=0,0,C78)</f>
        <v>335539</v>
      </c>
    </row>
    <row r="79" spans="1:3" ht="15.75" collapsed="1">
      <c r="A79" s="137"/>
      <c r="B79" s="138"/>
      <c r="C79" s="139"/>
    </row>
    <row r="80" spans="1:3" ht="15.75">
      <c r="A80" s="137"/>
      <c r="B80" s="138"/>
      <c r="C80" s="139"/>
    </row>
    <row r="81" spans="1:7" ht="31.5">
      <c r="A81" s="204" t="str">
        <f>'Анализ стоимости'!$I$37</f>
        <v>Глава Сергиевского сельского поселения Кореновского района</v>
      </c>
      <c r="B81" s="205"/>
      <c r="C81" s="141" t="str">
        <f>CONCATENATE("_____________________ ",'Анализ стоимости'!$I$38)</f>
        <v>_____________________ С.А. Басеев </v>
      </c>
      <c r="G81" s="164" t="str">
        <f>A81</f>
        <v>Глава Сергиевского сельского поселения Кореновского района</v>
      </c>
    </row>
    <row r="82" spans="1:7" s="153" customFormat="1" ht="15.75">
      <c r="A82" s="96"/>
      <c r="B82" s="144"/>
      <c r="C82" s="96"/>
      <c r="F82" s="154"/>
      <c r="G82" s="165"/>
    </row>
    <row r="83" spans="1:7" s="153" customFormat="1" ht="15.75">
      <c r="A83" s="196"/>
      <c r="B83" s="196"/>
      <c r="C83" s="94"/>
      <c r="F83" s="154"/>
      <c r="G83" s="165"/>
    </row>
    <row r="84" spans="1:3" ht="15.75">
      <c r="A84" s="196"/>
      <c r="B84" s="196"/>
      <c r="C84" s="94"/>
    </row>
    <row r="85" spans="1:3" ht="18.75">
      <c r="A85" s="207" t="s">
        <v>35</v>
      </c>
      <c r="B85" s="207"/>
      <c r="C85" s="207"/>
    </row>
    <row r="86" spans="1:6" ht="63">
      <c r="A86" s="206" t="str">
        <f>F86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86" s="206"/>
      <c r="C86" s="206"/>
      <c r="F8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87" spans="1:6" ht="31.5">
      <c r="A87" s="206" t="str">
        <f>F87</f>
        <v>Наименование объекта: Ремонт ул.Айвазяна от а/д ст-ца Платнировская-ст-ца Сергиевская-ст-ца Дядьковская до ул.Кирова в ст-це Сергиевской</v>
      </c>
      <c r="B87" s="206"/>
      <c r="C87" s="206"/>
      <c r="F87" s="146" t="str">
        <f>CONCATENATE("Наименование объекта: ",VLOOKUP($E$9,'Анализ стоимости'!$A$4:$DF$38,9,0))</f>
        <v>Наименование объекта: Ремонт ул.Айвазяна от а/д ст-ца Платнировская-ст-ца Сергиевская-ст-ца Дядьковская до ул.Кирова в ст-це Сергиевской</v>
      </c>
    </row>
    <row r="88" spans="1:5" ht="15.75">
      <c r="A88" s="196" t="s">
        <v>53</v>
      </c>
      <c r="B88" s="196"/>
      <c r="C88" s="196"/>
      <c r="E88" s="147"/>
    </row>
    <row r="89" spans="1:3" ht="15.75">
      <c r="A89" s="197" t="s">
        <v>109</v>
      </c>
      <c r="B89" s="197"/>
      <c r="C89" s="197"/>
    </row>
    <row r="90" spans="1:3" ht="15.75">
      <c r="A90" s="197" t="str">
        <f>CONCATENATE("учетом сроков строительства и НДС: ",FIXED(C120,0)," руб.")</f>
        <v>учетом сроков строительства и НДС: 1 588 907 руб.</v>
      </c>
      <c r="B90" s="197"/>
      <c r="C90" s="97"/>
    </row>
    <row r="91" spans="1:7" s="104" customFormat="1" ht="7.5" thickBot="1">
      <c r="A91" s="148"/>
      <c r="B91" s="149"/>
      <c r="C91" s="148"/>
      <c r="F91" s="150"/>
      <c r="G91" s="162"/>
    </row>
    <row r="92" spans="1:3" ht="17.25" thickBot="1" thickTop="1">
      <c r="A92" s="198" t="s">
        <v>54</v>
      </c>
      <c r="B92" s="199"/>
      <c r="C92" s="200"/>
    </row>
    <row r="93" spans="1:3" ht="39" thickBot="1">
      <c r="A93" s="107" t="s">
        <v>28</v>
      </c>
      <c r="B93" s="108" t="s">
        <v>58</v>
      </c>
      <c r="C93" s="107" t="s">
        <v>141</v>
      </c>
    </row>
    <row r="94" spans="1:3" ht="15.75">
      <c r="A94" s="110">
        <v>1</v>
      </c>
      <c r="B94" s="111" t="s">
        <v>42</v>
      </c>
      <c r="C94" s="112">
        <f>VLOOKUP($E$9,'Анализ стоимости'!$A$4:$DF$38,11,0)</f>
        <v>58337.82</v>
      </c>
    </row>
    <row r="95" spans="1:3" ht="15.75">
      <c r="A95" s="113">
        <v>2</v>
      </c>
      <c r="B95" s="114" t="s">
        <v>65</v>
      </c>
      <c r="C95" s="115">
        <f>VLOOKUP($E$9,'Анализ стоимости'!$A$4:$DF$38,12,0)</f>
        <v>69958.6</v>
      </c>
    </row>
    <row r="96" spans="1:3" ht="31.5">
      <c r="A96" s="113">
        <v>3</v>
      </c>
      <c r="B96" s="114" t="s">
        <v>75</v>
      </c>
      <c r="C96" s="115">
        <f>VLOOKUP($E$9,'Анализ стоимости'!$A$4:$DF$38,13,0)</f>
        <v>966976.19</v>
      </c>
    </row>
    <row r="97" spans="1:3" ht="15.75">
      <c r="A97" s="113">
        <v>4</v>
      </c>
      <c r="B97" s="114" t="s">
        <v>66</v>
      </c>
      <c r="C97" s="115">
        <f>VLOOKUP($E$9,'Анализ стоимости'!$A$4:$DF$38,14,0)</f>
        <v>70588.79</v>
      </c>
    </row>
    <row r="98" spans="1:3" ht="15.75">
      <c r="A98" s="113">
        <v>5</v>
      </c>
      <c r="B98" s="114" t="s">
        <v>76</v>
      </c>
      <c r="C98" s="115">
        <f>VLOOKUP($E$9,'Анализ стоимости'!$A$4:$DF$38,15,0)</f>
        <v>37919.6</v>
      </c>
    </row>
    <row r="99" spans="1:3" ht="15.75">
      <c r="A99" s="113">
        <v>6</v>
      </c>
      <c r="B99" s="114" t="s">
        <v>33</v>
      </c>
      <c r="C99" s="115">
        <f>VLOOKUP($E$9,'Анализ стоимости'!$A$4:$DF$38,19,0)</f>
        <v>0</v>
      </c>
    </row>
    <row r="100" spans="1:3" ht="15.75">
      <c r="A100" s="113">
        <v>7</v>
      </c>
      <c r="B100" s="114" t="s">
        <v>51</v>
      </c>
      <c r="C100" s="115">
        <f>VLOOKUP($E$9,'Анализ стоимости'!$A$4:$DF$38,20,0)+VLOOKUP($E$9,'Анализ стоимости'!$A$4:$DF$38,22,0)+VLOOKUP($E$9,'Анализ стоимости'!$A$4:$DF$38,23,0)+VLOOKUP($E$9,'Анализ стоимости'!$A$4:$DF$38,24,0)+VLOOKUP($E$9,'Анализ стоимости'!$A$4:$DF$38,25,0)+VLOOKUP($E$9,'Анализ стоимости'!$A$4:$DF$38,26,0)+VLOOKUP($E$9,'Анализ стоимости'!$A$4:$DF$38,27,0)+VLOOKUP($E$9,'Анализ стоимости'!$A$4:$DF$38,28,0)+VLOOKUP($E$9,'Анализ стоимости'!$A$4:$DF$38,33,0)</f>
        <v>44510</v>
      </c>
    </row>
    <row r="101" spans="1:9" ht="16.5" thickBot="1">
      <c r="A101" s="116"/>
      <c r="B101" s="117" t="s">
        <v>69</v>
      </c>
      <c r="C101" s="118">
        <f>SUM(C94:C100)</f>
        <v>1248291</v>
      </c>
      <c r="H101" s="109"/>
      <c r="I101" s="109"/>
    </row>
    <row r="102" spans="1:3" ht="16.5" thickBot="1">
      <c r="A102" s="201" t="s">
        <v>59</v>
      </c>
      <c r="B102" s="202"/>
      <c r="C102" s="203"/>
    </row>
    <row r="103" spans="1:3" ht="26.25" thickBot="1">
      <c r="A103" s="119" t="s">
        <v>28</v>
      </c>
      <c r="B103" s="108" t="s">
        <v>38</v>
      </c>
      <c r="C103" s="107" t="s">
        <v>60</v>
      </c>
    </row>
    <row r="104" spans="1:3" ht="15.75">
      <c r="A104" s="120"/>
      <c r="B104" s="121" t="s">
        <v>111</v>
      </c>
      <c r="C104" s="122"/>
    </row>
    <row r="105" spans="1:3" ht="15.75">
      <c r="A105" s="120"/>
      <c r="B105" s="114" t="s">
        <v>39</v>
      </c>
      <c r="C105" s="123">
        <f>IF(VLOOKUP($E$9,'Анализ стоимости'!$A$4:$DF$38,65,0)=0,0,DATE(2012,VLOOKUP($E$9,'Анализ стоимости'!$A$4:$DF$38,65,0),15))</f>
        <v>41136</v>
      </c>
    </row>
    <row r="106" spans="1:3" ht="15.75">
      <c r="A106" s="120"/>
      <c r="B106" s="114" t="s">
        <v>31</v>
      </c>
      <c r="C106" s="123">
        <f>IF(C105=0,0,DATE(2012,VLOOKUP($E$9,'Анализ стоимости'!$A$4:$DF$38,66,0),15))</f>
        <v>41136</v>
      </c>
    </row>
    <row r="107" spans="1:3" ht="25.5">
      <c r="A107" s="120"/>
      <c r="B107" s="124" t="s">
        <v>104</v>
      </c>
      <c r="C107" s="125">
        <f>IF(C105=0,0,VLOOKUP($E$9,'Анализ стоимости'!$A$4:$DF$38,71,0)+1)</f>
        <v>1.0787</v>
      </c>
    </row>
    <row r="108" spans="1:3" ht="15.75">
      <c r="A108" s="120"/>
      <c r="B108" s="134" t="s">
        <v>112</v>
      </c>
      <c r="C108" s="127">
        <f>VLOOKUP($E$9,'Анализ стоимости'!$A$4:$DF$38,43,0)</f>
        <v>1248291</v>
      </c>
    </row>
    <row r="109" spans="1:3" ht="15.75">
      <c r="A109" s="120"/>
      <c r="B109" s="114" t="s">
        <v>32</v>
      </c>
      <c r="C109" s="115">
        <f>VLOOKUP($E$9,'Анализ стоимости'!$A$4:$DF$38,48,0)</f>
        <v>98241</v>
      </c>
    </row>
    <row r="110" spans="1:5" ht="15.75">
      <c r="A110" s="120"/>
      <c r="B110" s="114" t="s">
        <v>82</v>
      </c>
      <c r="C110" s="115">
        <f>VLOOKUP($E$9,'Анализ стоимости'!$A$4:$DF$38,53,0)</f>
        <v>242375</v>
      </c>
      <c r="E110" s="140">
        <f>VLOOKUP($E$9,'Анализ стоимости'!$A$4:$DF$38,73,0)</f>
        <v>1588907</v>
      </c>
    </row>
    <row r="111" spans="1:5" ht="16.5" thickBot="1">
      <c r="A111" s="128"/>
      <c r="B111" s="129" t="s">
        <v>140</v>
      </c>
      <c r="C111" s="130">
        <f>SUM(C108:C110)</f>
        <v>1588907</v>
      </c>
      <c r="E111" s="140">
        <f>VLOOKUP($E$9,'Анализ стоимости'!$A$4:$DF$38,64)</f>
        <v>1588907</v>
      </c>
    </row>
    <row r="112" spans="1:3" ht="15.75" hidden="1" outlineLevel="1">
      <c r="A112" s="131"/>
      <c r="B112" s="132" t="s">
        <v>136</v>
      </c>
      <c r="C112" s="133"/>
    </row>
    <row r="113" spans="1:3" ht="15.75" hidden="1" outlineLevel="1">
      <c r="A113" s="120"/>
      <c r="B113" s="114" t="s">
        <v>39</v>
      </c>
      <c r="C113" s="123">
        <f>IF(VLOOKUP($E$9,'Анализ стоимости'!$A$4:$DF$38,7,0)="да",IF(VLOOKUP($E$9,'Анализ стоимости'!$A$4:$DF$38,67,0)=0,0,DATE(2013,VLOOKUP($E$9,'Анализ стоимости'!$A$4:$DF$38,67,0),15)),0)</f>
        <v>0</v>
      </c>
    </row>
    <row r="114" spans="1:3" ht="15.75" hidden="1" outlineLevel="1">
      <c r="A114" s="120"/>
      <c r="B114" s="114" t="s">
        <v>31</v>
      </c>
      <c r="C114" s="123">
        <f>IF(C113=0,0,DATE(2013,VLOOKUP($E$9,'Анализ стоимости'!$A$4:$DF$38,68,0),15))</f>
        <v>0</v>
      </c>
    </row>
    <row r="115" spans="1:3" ht="25.5" hidden="1" outlineLevel="1">
      <c r="A115" s="120"/>
      <c r="B115" s="124" t="s">
        <v>104</v>
      </c>
      <c r="C115" s="125">
        <f>IF(C113=0,0,VLOOKUP($E$9,'Анализ стоимости'!$A$4:$DF$38,72,0)+1)</f>
        <v>0</v>
      </c>
    </row>
    <row r="116" spans="1:3" ht="15.75" hidden="1" outlineLevel="1">
      <c r="A116" s="120"/>
      <c r="B116" s="134" t="s">
        <v>137</v>
      </c>
      <c r="C116" s="115">
        <f>C101-C108</f>
        <v>0</v>
      </c>
    </row>
    <row r="117" spans="1:3" ht="15.75" hidden="1" outlineLevel="1">
      <c r="A117" s="120"/>
      <c r="B117" s="114" t="s">
        <v>32</v>
      </c>
      <c r="C117" s="115">
        <f>VLOOKUP($E$9,'Анализ стоимости'!$A$4:$DF$38,58,0)</f>
        <v>0</v>
      </c>
    </row>
    <row r="118" spans="1:3" ht="15.75" hidden="1" outlineLevel="1">
      <c r="A118" s="120"/>
      <c r="B118" s="114" t="s">
        <v>82</v>
      </c>
      <c r="C118" s="115">
        <f>VLOOKUP($E$9,'Анализ стоимости'!$A$4:$DF$38,63,0)</f>
        <v>0</v>
      </c>
    </row>
    <row r="119" spans="1:3" ht="16.5" hidden="1" outlineLevel="1" thickBot="1">
      <c r="A119" s="128"/>
      <c r="B119" s="129" t="s">
        <v>138</v>
      </c>
      <c r="C119" s="130">
        <f>SUM(C116:C118)</f>
        <v>0</v>
      </c>
    </row>
    <row r="120" spans="1:5" ht="16.5" hidden="1" outlineLevel="1" collapsed="1" thickBot="1">
      <c r="A120" s="135"/>
      <c r="B120" s="136" t="s">
        <v>70</v>
      </c>
      <c r="C120" s="151">
        <f>ROUND(C111+C119,0)</f>
        <v>1588907</v>
      </c>
      <c r="E120" s="152">
        <f>IF(E$9=0,0,C120)</f>
        <v>1588907</v>
      </c>
    </row>
    <row r="121" spans="1:3" ht="15.75" collapsed="1">
      <c r="A121" s="137"/>
      <c r="B121" s="138"/>
      <c r="C121" s="139"/>
    </row>
    <row r="122" spans="1:3" ht="15.75">
      <c r="A122" s="137"/>
      <c r="B122" s="138"/>
      <c r="C122" s="139"/>
    </row>
    <row r="123" spans="1:7" ht="31.5">
      <c r="A123" s="204" t="str">
        <f>'Анализ стоимости'!$I$37</f>
        <v>Глава Сергиевского сельского поселения Кореновского района</v>
      </c>
      <c r="B123" s="205"/>
      <c r="C123" s="141" t="str">
        <f>CONCATENATE("_____________________ ",'Анализ стоимости'!$I$38)</f>
        <v>_____________________ С.А. Басеев </v>
      </c>
      <c r="G123" s="164" t="str">
        <f>A123</f>
        <v>Глава Сергиевского сельского поселения Кореновского района</v>
      </c>
    </row>
    <row r="124" spans="1:7" s="153" customFormat="1" ht="15.75">
      <c r="A124" s="96"/>
      <c r="B124" s="144"/>
      <c r="C124" s="96"/>
      <c r="F124" s="154"/>
      <c r="G124" s="165"/>
    </row>
    <row r="125" spans="1:7" s="153" customFormat="1" ht="15.75">
      <c r="A125" s="196"/>
      <c r="B125" s="196"/>
      <c r="C125" s="94"/>
      <c r="F125" s="154"/>
      <c r="G125" s="165"/>
    </row>
    <row r="126" spans="1:3" ht="15.75">
      <c r="A126" s="196"/>
      <c r="B126" s="196"/>
      <c r="C126" s="94"/>
    </row>
    <row r="127" spans="1:3" ht="18.75">
      <c r="A127" s="207" t="s">
        <v>35</v>
      </c>
      <c r="B127" s="207"/>
      <c r="C127" s="207"/>
    </row>
    <row r="128" spans="1:6" ht="63">
      <c r="A128" s="206" t="str">
        <f>F128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28" s="206"/>
      <c r="C128" s="206"/>
      <c r="F12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29" spans="1:6" ht="31.5">
      <c r="A129" s="206" t="str">
        <f>F129</f>
        <v>Наименование объекта: Ремонт ул.Береговой от ул.Роя до ул.Ленина в ст-це Сергиевской</v>
      </c>
      <c r="B129" s="206"/>
      <c r="C129" s="206"/>
      <c r="F129" s="146" t="str">
        <f>CONCATENATE("Наименование объекта: ",VLOOKUP($E$10,'Анализ стоимости'!$A$4:$DF$38,9,0))</f>
        <v>Наименование объекта: Ремонт ул.Береговой от ул.Роя до ул.Ленина в ст-це Сергиевской</v>
      </c>
    </row>
    <row r="130" spans="1:5" ht="15.75">
      <c r="A130" s="196" t="s">
        <v>53</v>
      </c>
      <c r="B130" s="196"/>
      <c r="C130" s="196"/>
      <c r="E130" s="147"/>
    </row>
    <row r="131" spans="1:3" ht="15.75">
      <c r="A131" s="197" t="s">
        <v>109</v>
      </c>
      <c r="B131" s="197"/>
      <c r="C131" s="197"/>
    </row>
    <row r="132" spans="1:3" ht="15.75">
      <c r="A132" s="197" t="str">
        <f>CONCATENATE("учетом сроков строительства и НДС: ",FIXED(C162,0)," руб.")</f>
        <v>учетом сроков строительства и НДС: 293 155 руб.</v>
      </c>
      <c r="B132" s="197"/>
      <c r="C132" s="97"/>
    </row>
    <row r="133" spans="1:7" s="104" customFormat="1" ht="7.5" thickBot="1">
      <c r="A133" s="148"/>
      <c r="B133" s="149"/>
      <c r="C133" s="148"/>
      <c r="F133" s="150"/>
      <c r="G133" s="162"/>
    </row>
    <row r="134" spans="1:3" ht="17.25" thickBot="1" thickTop="1">
      <c r="A134" s="198" t="s">
        <v>54</v>
      </c>
      <c r="B134" s="199"/>
      <c r="C134" s="200"/>
    </row>
    <row r="135" spans="1:3" ht="39" thickBot="1">
      <c r="A135" s="107" t="s">
        <v>28</v>
      </c>
      <c r="B135" s="108" t="s">
        <v>58</v>
      </c>
      <c r="C135" s="107" t="s">
        <v>141</v>
      </c>
    </row>
    <row r="136" spans="1:3" ht="15.75">
      <c r="A136" s="110">
        <v>1</v>
      </c>
      <c r="B136" s="111" t="s">
        <v>42</v>
      </c>
      <c r="C136" s="112">
        <f>VLOOKUP($E$10,'Анализ стоимости'!$A$4:$DF$38,11,0)</f>
        <v>14058.74</v>
      </c>
    </row>
    <row r="137" spans="1:3" ht="15.75">
      <c r="A137" s="113">
        <v>2</v>
      </c>
      <c r="B137" s="114" t="s">
        <v>65</v>
      </c>
      <c r="C137" s="115">
        <f>VLOOKUP($E$10,'Анализ стоимости'!$A$4:$DF$38,12,0)</f>
        <v>21903.59</v>
      </c>
    </row>
    <row r="138" spans="1:3" ht="31.5">
      <c r="A138" s="113">
        <v>3</v>
      </c>
      <c r="B138" s="114" t="s">
        <v>75</v>
      </c>
      <c r="C138" s="115">
        <f>VLOOKUP($E$10,'Анализ стоимости'!$A$4:$DF$38,13,0)</f>
        <v>159277.44</v>
      </c>
    </row>
    <row r="139" spans="1:3" ht="15.75">
      <c r="A139" s="113">
        <v>4</v>
      </c>
      <c r="B139" s="114" t="s">
        <v>66</v>
      </c>
      <c r="C139" s="115">
        <f>VLOOKUP($E$10,'Анализ стоимости'!$A$4:$DF$38,14,0)</f>
        <v>17011.06</v>
      </c>
    </row>
    <row r="140" spans="1:3" ht="15.75">
      <c r="A140" s="113">
        <v>5</v>
      </c>
      <c r="B140" s="114" t="s">
        <v>76</v>
      </c>
      <c r="C140" s="115">
        <f>VLOOKUP($E$10,'Анализ стоимости'!$A$4:$DF$38,15,0)</f>
        <v>9138.17</v>
      </c>
    </row>
    <row r="141" spans="1:3" ht="15.75">
      <c r="A141" s="113">
        <v>6</v>
      </c>
      <c r="B141" s="114" t="s">
        <v>33</v>
      </c>
      <c r="C141" s="115">
        <f>VLOOKUP($E$10,'Анализ стоимости'!$A$4:$DF$38,19,0)</f>
        <v>0</v>
      </c>
    </row>
    <row r="142" spans="1:3" ht="15.75">
      <c r="A142" s="113">
        <v>7</v>
      </c>
      <c r="B142" s="114" t="s">
        <v>51</v>
      </c>
      <c r="C142" s="115">
        <f>VLOOKUP($E$10,'Анализ стоимости'!$A$4:$DF$38,20,0)+VLOOKUP($E$10,'Анализ стоимости'!$A$4:$DF$38,22,0)+VLOOKUP($E$10,'Анализ стоимости'!$A$4:$DF$38,23,0)+VLOOKUP($E$10,'Анализ стоимости'!$A$4:$DF$38,24,0)+VLOOKUP($E$10,'Анализ стоимости'!$A$4:$DF$38,25,0)+VLOOKUP($E$10,'Анализ стоимости'!$A$4:$DF$38,26,0)+VLOOKUP($E$10,'Анализ стоимости'!$A$4:$DF$38,27,0)+VLOOKUP($E$10,'Анализ стоимости'!$A$4:$DF$38,28,0)+VLOOKUP($E$10,'Анализ стоимости'!$A$4:$DF$38,33,0)</f>
        <v>8922</v>
      </c>
    </row>
    <row r="143" spans="1:9" ht="16.5" thickBot="1">
      <c r="A143" s="116"/>
      <c r="B143" s="117" t="s">
        <v>69</v>
      </c>
      <c r="C143" s="118">
        <f>SUM(C136:C142)</f>
        <v>230311.00000000003</v>
      </c>
      <c r="H143" s="109"/>
      <c r="I143" s="109"/>
    </row>
    <row r="144" spans="1:3" ht="16.5" thickBot="1">
      <c r="A144" s="201" t="s">
        <v>59</v>
      </c>
      <c r="B144" s="202"/>
      <c r="C144" s="203"/>
    </row>
    <row r="145" spans="1:3" ht="26.25" thickBot="1">
      <c r="A145" s="119" t="s">
        <v>28</v>
      </c>
      <c r="B145" s="108" t="s">
        <v>38</v>
      </c>
      <c r="C145" s="107" t="s">
        <v>60</v>
      </c>
    </row>
    <row r="146" spans="1:3" ht="15.75">
      <c r="A146" s="120"/>
      <c r="B146" s="121" t="s">
        <v>111</v>
      </c>
      <c r="C146" s="122"/>
    </row>
    <row r="147" spans="1:3" ht="15.75">
      <c r="A147" s="120"/>
      <c r="B147" s="114" t="s">
        <v>39</v>
      </c>
      <c r="C147" s="123">
        <f>IF(VLOOKUP($E$10,'Анализ стоимости'!$A$4:$DF$38,65,0)=0,0,DATE(2012,VLOOKUP($E$10,'Анализ стоимости'!$A$4:$DF$38,65,0),15))</f>
        <v>41136</v>
      </c>
    </row>
    <row r="148" spans="1:3" ht="15.75">
      <c r="A148" s="120"/>
      <c r="B148" s="114" t="s">
        <v>31</v>
      </c>
      <c r="C148" s="123">
        <f>IF(C147=0,0,DATE(2012,VLOOKUP($E$10,'Анализ стоимости'!$A$4:$DF$38,66,0),15))</f>
        <v>41136</v>
      </c>
    </row>
    <row r="149" spans="1:3" ht="25.5">
      <c r="A149" s="120"/>
      <c r="B149" s="124" t="s">
        <v>104</v>
      </c>
      <c r="C149" s="125">
        <f>IF(C147=0,0,VLOOKUP($E$10,'Анализ стоимости'!$A$4:$DF$38,71,0)+1)</f>
        <v>1.0787</v>
      </c>
    </row>
    <row r="150" spans="1:3" ht="15.75">
      <c r="A150" s="120"/>
      <c r="B150" s="134" t="s">
        <v>112</v>
      </c>
      <c r="C150" s="127">
        <f>VLOOKUP($E$10,'Анализ стоимости'!$A$4:$DF$38,43,0)</f>
        <v>230311.00000000003</v>
      </c>
    </row>
    <row r="151" spans="1:3" ht="15.75">
      <c r="A151" s="120"/>
      <c r="B151" s="114" t="s">
        <v>32</v>
      </c>
      <c r="C151" s="115">
        <f>VLOOKUP($E$10,'Анализ стоимости'!$A$4:$DF$38,48,0)</f>
        <v>18125</v>
      </c>
    </row>
    <row r="152" spans="1:5" ht="15.75">
      <c r="A152" s="120"/>
      <c r="B152" s="114" t="s">
        <v>82</v>
      </c>
      <c r="C152" s="115">
        <f>VLOOKUP($E$10,'Анализ стоимости'!$A$4:$DF$38,53,0)</f>
        <v>44719</v>
      </c>
      <c r="E152" s="140">
        <f>VLOOKUP($E$10,'Анализ стоимости'!$A$4:$DF$38,73,0)</f>
        <v>293155</v>
      </c>
    </row>
    <row r="153" spans="1:5" ht="16.5" thickBot="1">
      <c r="A153" s="128"/>
      <c r="B153" s="129" t="s">
        <v>140</v>
      </c>
      <c r="C153" s="130">
        <f>SUM(C150:C152)</f>
        <v>293155</v>
      </c>
      <c r="E153" s="140">
        <f>VLOOKUP($E$10,'Анализ стоимости'!$A$4:$DF$38,64)</f>
        <v>293155</v>
      </c>
    </row>
    <row r="154" spans="1:3" ht="15.75" hidden="1" outlineLevel="1">
      <c r="A154" s="131"/>
      <c r="B154" s="132" t="s">
        <v>136</v>
      </c>
      <c r="C154" s="133"/>
    </row>
    <row r="155" spans="1:3" ht="15.75" hidden="1" outlineLevel="1">
      <c r="A155" s="120"/>
      <c r="B155" s="114" t="s">
        <v>39</v>
      </c>
      <c r="C155" s="123">
        <f>IF(VLOOKUP($E$10,'Анализ стоимости'!$A$4:$DF$38,7,0)="да",IF(VLOOKUP($E$10,'Анализ стоимости'!$A$4:$DF$38,67,0)=0,0,DATE(2013,VLOOKUP($E$10,'Анализ стоимости'!$A$4:$DF$38,67,0),15)),0)</f>
        <v>0</v>
      </c>
    </row>
    <row r="156" spans="1:3" ht="15.75" hidden="1" outlineLevel="1">
      <c r="A156" s="120"/>
      <c r="B156" s="114" t="s">
        <v>31</v>
      </c>
      <c r="C156" s="123">
        <f>IF(C155=0,0,DATE(2013,VLOOKUP($E$10,'Анализ стоимости'!$A$4:$DF$38,68,0),15))</f>
        <v>0</v>
      </c>
    </row>
    <row r="157" spans="1:3" ht="25.5" hidden="1" outlineLevel="1">
      <c r="A157" s="120"/>
      <c r="B157" s="124" t="s">
        <v>104</v>
      </c>
      <c r="C157" s="125">
        <f>IF(C155=0,0,VLOOKUP($E$10,'Анализ стоимости'!$A$4:$DF$38,72,0)+1)</f>
        <v>0</v>
      </c>
    </row>
    <row r="158" spans="1:3" ht="15.75" hidden="1" outlineLevel="1">
      <c r="A158" s="120"/>
      <c r="B158" s="134" t="s">
        <v>137</v>
      </c>
      <c r="C158" s="115">
        <f>C143-C150</f>
        <v>0</v>
      </c>
    </row>
    <row r="159" spans="1:3" ht="15.75" hidden="1" outlineLevel="1">
      <c r="A159" s="120"/>
      <c r="B159" s="114" t="s">
        <v>32</v>
      </c>
      <c r="C159" s="115">
        <f>VLOOKUP($E$10,'Анализ стоимости'!$A$4:$DF$38,58,0)</f>
        <v>0</v>
      </c>
    </row>
    <row r="160" spans="1:3" ht="15.75" hidden="1" outlineLevel="1">
      <c r="A160" s="120"/>
      <c r="B160" s="114" t="s">
        <v>82</v>
      </c>
      <c r="C160" s="115">
        <f>VLOOKUP($E$10,'Анализ стоимости'!$A$4:$DF$38,63,0)</f>
        <v>0</v>
      </c>
    </row>
    <row r="161" spans="1:3" ht="16.5" hidden="1" outlineLevel="1" thickBot="1">
      <c r="A161" s="128"/>
      <c r="B161" s="129" t="s">
        <v>138</v>
      </c>
      <c r="C161" s="130">
        <f>SUM(C158:C160)</f>
        <v>0</v>
      </c>
    </row>
    <row r="162" spans="1:5" ht="16.5" hidden="1" outlineLevel="1" collapsed="1" thickBot="1">
      <c r="A162" s="135"/>
      <c r="B162" s="136" t="s">
        <v>70</v>
      </c>
      <c r="C162" s="151">
        <f>ROUND(C153+C161,0)</f>
        <v>293155</v>
      </c>
      <c r="E162" s="152">
        <f>IF(E$10=0,0,C162)</f>
        <v>293155</v>
      </c>
    </row>
    <row r="163" spans="1:3" ht="15.75" collapsed="1">
      <c r="A163" s="137"/>
      <c r="B163" s="138"/>
      <c r="C163" s="139"/>
    </row>
    <row r="164" spans="1:3" ht="15.75">
      <c r="A164" s="137"/>
      <c r="B164" s="138"/>
      <c r="C164" s="139"/>
    </row>
    <row r="165" spans="1:7" ht="31.5">
      <c r="A165" s="204" t="str">
        <f>'Анализ стоимости'!$I$37</f>
        <v>Глава Сергиевского сельского поселения Кореновского района</v>
      </c>
      <c r="B165" s="205"/>
      <c r="C165" s="141" t="str">
        <f>CONCATENATE("_____________________ ",'Анализ стоимости'!$I$38)</f>
        <v>_____________________ С.А. Басеев </v>
      </c>
      <c r="G165" s="164" t="str">
        <f>A165</f>
        <v>Глава Сергиевского сельского поселения Кореновского района</v>
      </c>
    </row>
    <row r="166" spans="1:7" s="153" customFormat="1" ht="15.75">
      <c r="A166" s="96"/>
      <c r="B166" s="144"/>
      <c r="C166" s="96"/>
      <c r="F166" s="154"/>
      <c r="G166" s="165"/>
    </row>
    <row r="167" spans="1:7" s="153" customFormat="1" ht="15.75">
      <c r="A167" s="196"/>
      <c r="B167" s="196"/>
      <c r="C167" s="94"/>
      <c r="F167" s="154"/>
      <c r="G167" s="165"/>
    </row>
    <row r="168" spans="1:3" ht="15.75">
      <c r="A168" s="196"/>
      <c r="B168" s="196"/>
      <c r="C168" s="94"/>
    </row>
    <row r="169" spans="1:3" ht="18.75">
      <c r="A169" s="207" t="s">
        <v>35</v>
      </c>
      <c r="B169" s="207"/>
      <c r="C169" s="207"/>
    </row>
    <row r="170" spans="1:6" ht="63">
      <c r="A170" s="206" t="str">
        <f>F170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70" s="206"/>
      <c r="C170" s="206"/>
      <c r="F17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71" spans="1:6" ht="31.5">
      <c r="A171" s="206" t="str">
        <f>F171</f>
        <v>Наименование объекта: Ремонт ул.Н.Крупской от ПК 0+00 (ул.Ленина) до ПК 1+60 в ст-це Сергиевской</v>
      </c>
      <c r="B171" s="206"/>
      <c r="C171" s="206"/>
      <c r="F171" s="146" t="str">
        <f>CONCATENATE("Наименование объекта: ",VLOOKUP($E$11,'Анализ стоимости'!$A$4:$DF$38,9,0))</f>
        <v>Наименование объекта: Ремонт ул.Н.Крупской от ПК 0+00 (ул.Ленина) до ПК 1+60 в ст-це Сергиевской</v>
      </c>
    </row>
    <row r="172" spans="1:5" ht="15.75">
      <c r="A172" s="196" t="s">
        <v>53</v>
      </c>
      <c r="B172" s="196"/>
      <c r="C172" s="196"/>
      <c r="E172" s="147"/>
    </row>
    <row r="173" spans="1:3" ht="15.75">
      <c r="A173" s="197" t="s">
        <v>109</v>
      </c>
      <c r="B173" s="197"/>
      <c r="C173" s="197"/>
    </row>
    <row r="174" spans="1:3" ht="15.75">
      <c r="A174" s="197" t="str">
        <f>CONCATENATE("учетом сроков строительства и НДС: ",FIXED(C204,0)," руб.")</f>
        <v>учетом сроков строительства и НДС: 223 357 руб.</v>
      </c>
      <c r="B174" s="197"/>
      <c r="C174" s="97"/>
    </row>
    <row r="175" spans="1:7" s="104" customFormat="1" ht="7.5" thickBot="1">
      <c r="A175" s="148"/>
      <c r="B175" s="149"/>
      <c r="C175" s="148"/>
      <c r="F175" s="150"/>
      <c r="G175" s="162"/>
    </row>
    <row r="176" spans="1:3" ht="17.25" thickBot="1" thickTop="1">
      <c r="A176" s="198" t="s">
        <v>54</v>
      </c>
      <c r="B176" s="199"/>
      <c r="C176" s="200"/>
    </row>
    <row r="177" spans="1:3" ht="39" thickBot="1">
      <c r="A177" s="107" t="s">
        <v>28</v>
      </c>
      <c r="B177" s="108" t="s">
        <v>58</v>
      </c>
      <c r="C177" s="107" t="s">
        <v>141</v>
      </c>
    </row>
    <row r="178" spans="1:3" ht="15.75">
      <c r="A178" s="110">
        <v>1</v>
      </c>
      <c r="B178" s="111" t="s">
        <v>42</v>
      </c>
      <c r="C178" s="112">
        <f>VLOOKUP($E$11,'Анализ стоимости'!$A$4:$DF$38,11,0)</f>
        <v>10711.41</v>
      </c>
    </row>
    <row r="179" spans="1:3" ht="15.75">
      <c r="A179" s="113">
        <v>2</v>
      </c>
      <c r="B179" s="114" t="s">
        <v>65</v>
      </c>
      <c r="C179" s="115">
        <f>VLOOKUP($E$11,'Анализ стоимости'!$A$4:$DF$38,12,0)</f>
        <v>16688.47</v>
      </c>
    </row>
    <row r="180" spans="1:3" ht="31.5">
      <c r="A180" s="113">
        <v>3</v>
      </c>
      <c r="B180" s="114" t="s">
        <v>75</v>
      </c>
      <c r="C180" s="115">
        <f>VLOOKUP($E$11,'Анализ стоимости'!$A$4:$DF$38,13,0)</f>
        <v>121353.88</v>
      </c>
    </row>
    <row r="181" spans="1:3" ht="15.75">
      <c r="A181" s="113">
        <v>4</v>
      </c>
      <c r="B181" s="114" t="s">
        <v>66</v>
      </c>
      <c r="C181" s="115">
        <f>VLOOKUP($E$11,'Анализ стоимости'!$A$4:$DF$38,14,0)</f>
        <v>12960.82</v>
      </c>
    </row>
    <row r="182" spans="1:3" ht="15.75">
      <c r="A182" s="113">
        <v>5</v>
      </c>
      <c r="B182" s="114" t="s">
        <v>76</v>
      </c>
      <c r="C182" s="115">
        <f>VLOOKUP($E$11,'Анализ стоимости'!$A$4:$DF$38,15,0)</f>
        <v>6962.42</v>
      </c>
    </row>
    <row r="183" spans="1:3" ht="15.75">
      <c r="A183" s="113">
        <v>6</v>
      </c>
      <c r="B183" s="114" t="s">
        <v>33</v>
      </c>
      <c r="C183" s="115">
        <f>VLOOKUP($E$11,'Анализ стоимости'!$A$4:$DF$38,19,0)</f>
        <v>0</v>
      </c>
    </row>
    <row r="184" spans="1:3" ht="15.75">
      <c r="A184" s="113">
        <v>7</v>
      </c>
      <c r="B184" s="114" t="s">
        <v>51</v>
      </c>
      <c r="C184" s="115">
        <f>VLOOKUP($E$11,'Анализ стоимости'!$A$4:$DF$38,20,0)+VLOOKUP($E$11,'Анализ стоимости'!$A$4:$DF$38,22,0)+VLOOKUP($E$11,'Анализ стоимости'!$A$4:$DF$38,23,0)+VLOOKUP($E$11,'Анализ стоимости'!$A$4:$DF$38,24,0)+VLOOKUP($E$11,'Анализ стоимости'!$A$4:$DF$38,25,0)+VLOOKUP($E$11,'Анализ стоимости'!$A$4:$DF$38,26,0)+VLOOKUP($E$11,'Анализ стоимости'!$A$4:$DF$38,27,0)+VLOOKUP($E$11,'Анализ стоимости'!$A$4:$DF$38,28,0)+VLOOKUP($E$11,'Анализ стоимости'!$A$4:$DF$38,33,0)</f>
        <v>6798</v>
      </c>
    </row>
    <row r="185" spans="1:9" ht="16.5" thickBot="1">
      <c r="A185" s="116"/>
      <c r="B185" s="117" t="s">
        <v>69</v>
      </c>
      <c r="C185" s="118">
        <f>SUM(C178:C184)</f>
        <v>175475.00000000003</v>
      </c>
      <c r="H185" s="109"/>
      <c r="I185" s="109"/>
    </row>
    <row r="186" spans="1:3" ht="16.5" thickBot="1">
      <c r="A186" s="201" t="s">
        <v>59</v>
      </c>
      <c r="B186" s="202"/>
      <c r="C186" s="203"/>
    </row>
    <row r="187" spans="1:3" ht="26.25" thickBot="1">
      <c r="A187" s="119" t="s">
        <v>28</v>
      </c>
      <c r="B187" s="108" t="s">
        <v>38</v>
      </c>
      <c r="C187" s="107" t="s">
        <v>60</v>
      </c>
    </row>
    <row r="188" spans="1:3" ht="15.75">
      <c r="A188" s="120"/>
      <c r="B188" s="121" t="s">
        <v>111</v>
      </c>
      <c r="C188" s="122"/>
    </row>
    <row r="189" spans="1:3" ht="15.75">
      <c r="A189" s="120"/>
      <c r="B189" s="114" t="s">
        <v>39</v>
      </c>
      <c r="C189" s="123">
        <f>IF(VLOOKUP($E$11,'Анализ стоимости'!$A$4:$DF$38,65,0)=0,0,DATE(2012,VLOOKUP($E$11,'Анализ стоимости'!$A$4:$DF$38,65,0),15))</f>
        <v>41136</v>
      </c>
    </row>
    <row r="190" spans="1:3" ht="15.75">
      <c r="A190" s="120"/>
      <c r="B190" s="114" t="s">
        <v>31</v>
      </c>
      <c r="C190" s="123">
        <f>IF(C189=0,0,DATE(2012,VLOOKUP($E$11,'Анализ стоимости'!$A$4:$DF$38,66,0),15))</f>
        <v>41136</v>
      </c>
    </row>
    <row r="191" spans="1:3" ht="25.5">
      <c r="A191" s="120"/>
      <c r="B191" s="124" t="s">
        <v>104</v>
      </c>
      <c r="C191" s="125">
        <f>IF(C189=0,0,VLOOKUP($E$11,'Анализ стоимости'!$A$4:$DF$38,71,0)+1)</f>
        <v>1.0787</v>
      </c>
    </row>
    <row r="192" spans="1:3" ht="15.75">
      <c r="A192" s="120"/>
      <c r="B192" s="134" t="s">
        <v>112</v>
      </c>
      <c r="C192" s="127">
        <f>VLOOKUP($E$11,'Анализ стоимости'!$A$4:$DF$38,43,0)</f>
        <v>175475.00000000003</v>
      </c>
    </row>
    <row r="193" spans="1:3" ht="15.75">
      <c r="A193" s="120"/>
      <c r="B193" s="114" t="s">
        <v>32</v>
      </c>
      <c r="C193" s="115">
        <f>VLOOKUP($E$11,'Анализ стоимости'!$A$4:$DF$38,48,0)</f>
        <v>13810</v>
      </c>
    </row>
    <row r="194" spans="1:5" ht="15.75">
      <c r="A194" s="120"/>
      <c r="B194" s="114" t="s">
        <v>82</v>
      </c>
      <c r="C194" s="115">
        <f>VLOOKUP($E$11,'Анализ стоимости'!$A$4:$DF$38,53,0)</f>
        <v>34072</v>
      </c>
      <c r="E194" s="140">
        <f>VLOOKUP($E$11,'Анализ стоимости'!$A$4:$DF$38,73,0)</f>
        <v>223357.00000000003</v>
      </c>
    </row>
    <row r="195" spans="1:5" ht="16.5" thickBot="1">
      <c r="A195" s="128"/>
      <c r="B195" s="129" t="s">
        <v>140</v>
      </c>
      <c r="C195" s="130">
        <f>SUM(C192:C194)</f>
        <v>223357.00000000003</v>
      </c>
      <c r="E195" s="140">
        <f>VLOOKUP($E$11,'Анализ стоимости'!$A$4:$DF$38,64)</f>
        <v>223357.00000000003</v>
      </c>
    </row>
    <row r="196" spans="1:3" ht="15.75" hidden="1" outlineLevel="1">
      <c r="A196" s="131"/>
      <c r="B196" s="132" t="s">
        <v>136</v>
      </c>
      <c r="C196" s="133"/>
    </row>
    <row r="197" spans="1:3" ht="15.75" hidden="1" outlineLevel="1">
      <c r="A197" s="120"/>
      <c r="B197" s="114" t="s">
        <v>39</v>
      </c>
      <c r="C197" s="123">
        <f>IF(VLOOKUP($E$11,'Анализ стоимости'!$A$4:$DF$38,7,0)="да",IF(VLOOKUP($E$11,'Анализ стоимости'!$A$4:$DF$38,67,0)=0,0,DATE(2013,VLOOKUP($E$11,'Анализ стоимости'!$A$4:$DF$38,67,0),15)),0)</f>
        <v>0</v>
      </c>
    </row>
    <row r="198" spans="1:3" ht="15.75" hidden="1" outlineLevel="1">
      <c r="A198" s="120"/>
      <c r="B198" s="114" t="s">
        <v>31</v>
      </c>
      <c r="C198" s="123">
        <f>IF(C197=0,0,DATE(2013,VLOOKUP($E$11,'Анализ стоимости'!$A$4:$DF$38,68,0),15))</f>
        <v>0</v>
      </c>
    </row>
    <row r="199" spans="1:3" ht="25.5" hidden="1" outlineLevel="1">
      <c r="A199" s="120"/>
      <c r="B199" s="124" t="s">
        <v>104</v>
      </c>
      <c r="C199" s="125">
        <f>IF(C197=0,0,VLOOKUP($E$11,'Анализ стоимости'!$A$4:$DF$38,72,0)+1)</f>
        <v>0</v>
      </c>
    </row>
    <row r="200" spans="1:3" ht="15.75" hidden="1" outlineLevel="1">
      <c r="A200" s="120"/>
      <c r="B200" s="134" t="s">
        <v>137</v>
      </c>
      <c r="C200" s="115">
        <f>C185-C192</f>
        <v>0</v>
      </c>
    </row>
    <row r="201" spans="1:3" ht="15.75" hidden="1" outlineLevel="1">
      <c r="A201" s="120"/>
      <c r="B201" s="114" t="s">
        <v>32</v>
      </c>
      <c r="C201" s="115">
        <f>VLOOKUP($E$11,'Анализ стоимости'!$A$4:$DF$38,58,0)</f>
        <v>0</v>
      </c>
    </row>
    <row r="202" spans="1:3" ht="15.75" hidden="1" outlineLevel="1">
      <c r="A202" s="120"/>
      <c r="B202" s="114" t="s">
        <v>82</v>
      </c>
      <c r="C202" s="115">
        <f>VLOOKUP($E$11,'Анализ стоимости'!$A$4:$DF$38,63,0)</f>
        <v>0</v>
      </c>
    </row>
    <row r="203" spans="1:3" ht="16.5" hidden="1" outlineLevel="1" thickBot="1">
      <c r="A203" s="128"/>
      <c r="B203" s="129" t="s">
        <v>138</v>
      </c>
      <c r="C203" s="130">
        <f>SUM(C200:C202)</f>
        <v>0</v>
      </c>
    </row>
    <row r="204" spans="1:5" ht="16.5" hidden="1" outlineLevel="1" collapsed="1" thickBot="1">
      <c r="A204" s="135"/>
      <c r="B204" s="136" t="s">
        <v>70</v>
      </c>
      <c r="C204" s="151">
        <f>ROUND(C195+C203,0)</f>
        <v>223357</v>
      </c>
      <c r="E204" s="152">
        <f>IF(E$11=0,0,C204)</f>
        <v>223357</v>
      </c>
    </row>
    <row r="205" spans="1:3" ht="15.75" collapsed="1">
      <c r="A205" s="137"/>
      <c r="B205" s="138"/>
      <c r="C205" s="139"/>
    </row>
    <row r="206" spans="1:3" ht="15.75">
      <c r="A206" s="137"/>
      <c r="B206" s="138"/>
      <c r="C206" s="139"/>
    </row>
    <row r="207" spans="1:7" ht="31.5">
      <c r="A207" s="204" t="str">
        <f>'Анализ стоимости'!$I$37</f>
        <v>Глава Сергиевского сельского поселения Кореновского района</v>
      </c>
      <c r="B207" s="205"/>
      <c r="C207" s="141" t="str">
        <f>CONCATENATE("_____________________ ",'Анализ стоимости'!$I$38)</f>
        <v>_____________________ С.А. Басеев </v>
      </c>
      <c r="G207" s="164" t="str">
        <f>A207</f>
        <v>Глава Сергиевского сельского поселения Кореновского района</v>
      </c>
    </row>
    <row r="208" spans="1:7" s="153" customFormat="1" ht="15.75">
      <c r="A208" s="96"/>
      <c r="B208" s="144"/>
      <c r="C208" s="96"/>
      <c r="F208" s="154"/>
      <c r="G208" s="165"/>
    </row>
    <row r="209" spans="1:7" s="153" customFormat="1" ht="15.75">
      <c r="A209" s="196"/>
      <c r="B209" s="196"/>
      <c r="C209" s="94"/>
      <c r="F209" s="154"/>
      <c r="G209" s="165"/>
    </row>
    <row r="210" spans="1:3" ht="15.75">
      <c r="A210" s="196"/>
      <c r="B210" s="196"/>
      <c r="C210" s="94"/>
    </row>
    <row r="211" spans="1:3" ht="18.75">
      <c r="A211" s="207" t="s">
        <v>35</v>
      </c>
      <c r="B211" s="207"/>
      <c r="C211" s="207"/>
    </row>
    <row r="212" spans="1:6" ht="63">
      <c r="A212" s="206" t="str">
        <f>F212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212" s="206"/>
      <c r="C212" s="206"/>
      <c r="F21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213" spans="1:6" ht="15.75">
      <c r="A213" s="206" t="str">
        <f>F213</f>
        <v>Наименование объекта: </v>
      </c>
      <c r="B213" s="206"/>
      <c r="C213" s="206"/>
      <c r="F213" s="146" t="str">
        <f>CONCATENATE("Наименование объекта: ",VLOOKUP($E$12,'Анализ стоимости'!$A$4:$DF$38,9,0))</f>
        <v>Наименование объекта: </v>
      </c>
    </row>
    <row r="214" spans="1:5" ht="15.75">
      <c r="A214" s="196" t="s">
        <v>53</v>
      </c>
      <c r="B214" s="196"/>
      <c r="C214" s="196"/>
      <c r="E214" s="147"/>
    </row>
    <row r="215" spans="1:3" ht="15.75">
      <c r="A215" s="197" t="s">
        <v>109</v>
      </c>
      <c r="B215" s="197"/>
      <c r="C215" s="197"/>
    </row>
    <row r="216" spans="1:3" ht="15.75">
      <c r="A216" s="197" t="str">
        <f>CONCATENATE("учетом сроков строительства и НДС: ",FIXED(C246,0)," руб.")</f>
        <v>учетом сроков строительства и НДС: 0 руб.</v>
      </c>
      <c r="B216" s="197"/>
      <c r="C216" s="97"/>
    </row>
    <row r="217" spans="1:7" s="104" customFormat="1" ht="7.5" thickBot="1">
      <c r="A217" s="148"/>
      <c r="B217" s="149"/>
      <c r="C217" s="148"/>
      <c r="F217" s="150"/>
      <c r="G217" s="162"/>
    </row>
    <row r="218" spans="1:3" ht="17.25" thickBot="1" thickTop="1">
      <c r="A218" s="198" t="s">
        <v>54</v>
      </c>
      <c r="B218" s="199"/>
      <c r="C218" s="200"/>
    </row>
    <row r="219" spans="1:3" ht="39" thickBot="1">
      <c r="A219" s="107" t="s">
        <v>28</v>
      </c>
      <c r="B219" s="108" t="s">
        <v>58</v>
      </c>
      <c r="C219" s="107" t="s">
        <v>141</v>
      </c>
    </row>
    <row r="220" spans="1:3" ht="15.75">
      <c r="A220" s="110">
        <v>1</v>
      </c>
      <c r="B220" s="111" t="s">
        <v>42</v>
      </c>
      <c r="C220" s="112">
        <f>VLOOKUP($E$12,'Анализ стоимости'!$A$4:$DF$38,11,0)</f>
        <v>0</v>
      </c>
    </row>
    <row r="221" spans="1:3" ht="15.75">
      <c r="A221" s="113">
        <v>2</v>
      </c>
      <c r="B221" s="114" t="s">
        <v>65</v>
      </c>
      <c r="C221" s="115">
        <f>VLOOKUP($E$12,'Анализ стоимости'!$A$4:$DF$38,12,0)</f>
        <v>0</v>
      </c>
    </row>
    <row r="222" spans="1:3" ht="31.5">
      <c r="A222" s="113">
        <v>3</v>
      </c>
      <c r="B222" s="114" t="s">
        <v>75</v>
      </c>
      <c r="C222" s="115">
        <f>VLOOKUP($E$12,'Анализ стоимости'!$A$4:$DF$38,13,0)</f>
        <v>0</v>
      </c>
    </row>
    <row r="223" spans="1:3" ht="15.75">
      <c r="A223" s="113">
        <v>4</v>
      </c>
      <c r="B223" s="114" t="s">
        <v>66</v>
      </c>
      <c r="C223" s="115">
        <f>VLOOKUP($E$12,'Анализ стоимости'!$A$4:$DF$38,14,0)</f>
        <v>0</v>
      </c>
    </row>
    <row r="224" spans="1:3" ht="15.75">
      <c r="A224" s="113">
        <v>5</v>
      </c>
      <c r="B224" s="114" t="s">
        <v>76</v>
      </c>
      <c r="C224" s="115">
        <f>VLOOKUP($E$12,'Анализ стоимости'!$A$4:$DF$38,15,0)</f>
        <v>0</v>
      </c>
    </row>
    <row r="225" spans="1:3" ht="15.75">
      <c r="A225" s="113">
        <v>6</v>
      </c>
      <c r="B225" s="114" t="s">
        <v>33</v>
      </c>
      <c r="C225" s="115">
        <f>VLOOKUP($E$12,'Анализ стоимости'!$A$4:$DF$38,19,0)</f>
        <v>0</v>
      </c>
    </row>
    <row r="226" spans="1:3" ht="15.75">
      <c r="A226" s="113">
        <v>7</v>
      </c>
      <c r="B226" s="114" t="s">
        <v>51</v>
      </c>
      <c r="C226" s="115">
        <f>VLOOKUP($E$12,'Анализ стоимости'!$A$4:$DF$38,20,0)+VLOOKUP($E$12,'Анализ стоимости'!$A$4:$DF$38,22,0)+VLOOKUP($E$12,'Анализ стоимости'!$A$4:$DF$38,23,0)+VLOOKUP($E$12,'Анализ стоимости'!$A$4:$DF$38,24,0)+VLOOKUP($E$12,'Анализ стоимости'!$A$4:$DF$38,25,0)+VLOOKUP($E$12,'Анализ стоимости'!$A$4:$DF$38,26,0)+VLOOKUP($E$12,'Анализ стоимости'!$A$4:$DF$38,27,0)+VLOOKUP($E$12,'Анализ стоимости'!$A$4:$DF$38,28,0)+VLOOKUP($E$12,'Анализ стоимости'!$A$4:$DF$38,33,0)</f>
        <v>0</v>
      </c>
    </row>
    <row r="227" spans="1:9" ht="16.5" thickBot="1">
      <c r="A227" s="116"/>
      <c r="B227" s="117" t="s">
        <v>69</v>
      </c>
      <c r="C227" s="118">
        <f>SUM(C220:C226)</f>
        <v>0</v>
      </c>
      <c r="H227" s="109"/>
      <c r="I227" s="109"/>
    </row>
    <row r="228" spans="1:3" ht="16.5" thickBot="1">
      <c r="A228" s="201" t="s">
        <v>59</v>
      </c>
      <c r="B228" s="202"/>
      <c r="C228" s="203"/>
    </row>
    <row r="229" spans="1:3" ht="26.25" thickBot="1">
      <c r="A229" s="119" t="s">
        <v>28</v>
      </c>
      <c r="B229" s="108" t="s">
        <v>38</v>
      </c>
      <c r="C229" s="107" t="s">
        <v>60</v>
      </c>
    </row>
    <row r="230" spans="1:3" ht="15.75">
      <c r="A230" s="120"/>
      <c r="B230" s="121" t="s">
        <v>111</v>
      </c>
      <c r="C230" s="122"/>
    </row>
    <row r="231" spans="1:3" ht="15.75">
      <c r="A231" s="120"/>
      <c r="B231" s="114" t="s">
        <v>39</v>
      </c>
      <c r="C231" s="123">
        <f>IF(VLOOKUP($E$12,'Анализ стоимости'!$A$4:$DF$38,65,0)=0,0,DATE(2012,VLOOKUP($E$12,'Анализ стоимости'!$A$4:$DF$38,65,0),15))</f>
        <v>40923</v>
      </c>
    </row>
    <row r="232" spans="1:3" ht="15.75">
      <c r="A232" s="120"/>
      <c r="B232" s="114" t="s">
        <v>31</v>
      </c>
      <c r="C232" s="123">
        <f>IF(C231=0,0,DATE(2012,VLOOKUP($E$12,'Анализ стоимости'!$A$4:$DF$38,66,0),15))</f>
        <v>41258</v>
      </c>
    </row>
    <row r="233" spans="1:3" ht="25.5">
      <c r="A233" s="120"/>
      <c r="B233" s="124" t="s">
        <v>104</v>
      </c>
      <c r="C233" s="125">
        <f>IF(C231=0,0,VLOOKUP($E$12,'Анализ стоимости'!$A$4:$DF$38,71,0)+1)</f>
        <v>1.0725</v>
      </c>
    </row>
    <row r="234" spans="1:3" ht="15.75">
      <c r="A234" s="120"/>
      <c r="B234" s="134" t="s">
        <v>112</v>
      </c>
      <c r="C234" s="127">
        <f>VLOOKUP($E$12,'Анализ стоимости'!$A$4:$DF$38,43,0)</f>
        <v>0</v>
      </c>
    </row>
    <row r="235" spans="1:3" ht="15.75">
      <c r="A235" s="120"/>
      <c r="B235" s="114" t="s">
        <v>32</v>
      </c>
      <c r="C235" s="115">
        <f>VLOOKUP($E$12,'Анализ стоимости'!$A$4:$DF$38,48,0)</f>
        <v>0</v>
      </c>
    </row>
    <row r="236" spans="1:5" ht="15.75">
      <c r="A236" s="120"/>
      <c r="B236" s="114" t="s">
        <v>82</v>
      </c>
      <c r="C236" s="115">
        <f>VLOOKUP($E$12,'Анализ стоимости'!$A$4:$DF$38,53,0)</f>
        <v>0</v>
      </c>
      <c r="E236" s="140">
        <f>VLOOKUP($E$12,'Анализ стоимости'!$A$4:$DF$38,73,0)</f>
        <v>0</v>
      </c>
    </row>
    <row r="237" spans="1:5" ht="16.5" thickBot="1">
      <c r="A237" s="128"/>
      <c r="B237" s="129" t="s">
        <v>140</v>
      </c>
      <c r="C237" s="130">
        <f>SUM(C234:C236)</f>
        <v>0</v>
      </c>
      <c r="E237" s="140">
        <f>VLOOKUP($E$12,'Анализ стоимости'!$A$4:$DF$38,64)</f>
        <v>0</v>
      </c>
    </row>
    <row r="238" spans="1:3" ht="15.75" hidden="1" outlineLevel="1">
      <c r="A238" s="131"/>
      <c r="B238" s="132" t="s">
        <v>136</v>
      </c>
      <c r="C238" s="133"/>
    </row>
    <row r="239" spans="1:3" ht="15.75" hidden="1" outlineLevel="1">
      <c r="A239" s="120"/>
      <c r="B239" s="114" t="s">
        <v>39</v>
      </c>
      <c r="C239" s="123">
        <f>IF(VLOOKUP($E$12,'Анализ стоимости'!$A$4:$DF$38,7,0)="да",IF(VLOOKUP($E$12,'Анализ стоимости'!$A$4:$DF$38,67,0)=0,0,DATE(2013,VLOOKUP($E$12,'Анализ стоимости'!$A$4:$DF$38,67,0),15)),0)</f>
        <v>0</v>
      </c>
    </row>
    <row r="240" spans="1:3" ht="15.75" hidden="1" outlineLevel="1">
      <c r="A240" s="120"/>
      <c r="B240" s="114" t="s">
        <v>31</v>
      </c>
      <c r="C240" s="123">
        <f>IF(C239=0,0,DATE(2013,VLOOKUP($E$12,'Анализ стоимости'!$A$4:$DF$38,68,0),15))</f>
        <v>0</v>
      </c>
    </row>
    <row r="241" spans="1:3" ht="25.5" hidden="1" outlineLevel="1">
      <c r="A241" s="120"/>
      <c r="B241" s="124" t="s">
        <v>104</v>
      </c>
      <c r="C241" s="125">
        <f>IF(C239=0,0,VLOOKUP($E$12,'Анализ стоимости'!$A$4:$DF$38,72,0)+1)</f>
        <v>0</v>
      </c>
    </row>
    <row r="242" spans="1:3" ht="15.75" hidden="1" outlineLevel="1">
      <c r="A242" s="120"/>
      <c r="B242" s="134" t="s">
        <v>137</v>
      </c>
      <c r="C242" s="115">
        <f>C227-C234</f>
        <v>0</v>
      </c>
    </row>
    <row r="243" spans="1:3" ht="15.75" hidden="1" outlineLevel="1">
      <c r="A243" s="120"/>
      <c r="B243" s="114" t="s">
        <v>32</v>
      </c>
      <c r="C243" s="115">
        <f>VLOOKUP($E$12,'Анализ стоимости'!$A$4:$DF$38,58,0)</f>
        <v>0</v>
      </c>
    </row>
    <row r="244" spans="1:3" ht="15.75" hidden="1" outlineLevel="1">
      <c r="A244" s="120"/>
      <c r="B244" s="114" t="s">
        <v>82</v>
      </c>
      <c r="C244" s="115">
        <f>VLOOKUP($E$12,'Анализ стоимости'!$A$4:$DF$38,63,0)</f>
        <v>0</v>
      </c>
    </row>
    <row r="245" spans="1:3" ht="16.5" hidden="1" outlineLevel="1" thickBot="1">
      <c r="A245" s="128"/>
      <c r="B245" s="129" t="s">
        <v>138</v>
      </c>
      <c r="C245" s="130">
        <f>SUM(C242:C244)</f>
        <v>0</v>
      </c>
    </row>
    <row r="246" spans="1:5" ht="16.5" hidden="1" outlineLevel="1" collapsed="1" thickBot="1">
      <c r="A246" s="135"/>
      <c r="B246" s="136" t="s">
        <v>70</v>
      </c>
      <c r="C246" s="151">
        <f>ROUND(C237+C245,0)</f>
        <v>0</v>
      </c>
      <c r="E246" s="152">
        <f>IF(E$12=0,0,C246)</f>
        <v>0</v>
      </c>
    </row>
    <row r="247" spans="1:3" ht="15.75" collapsed="1">
      <c r="A247" s="137"/>
      <c r="B247" s="138"/>
      <c r="C247" s="139"/>
    </row>
    <row r="248" spans="1:3" ht="15.75">
      <c r="A248" s="137"/>
      <c r="B248" s="138"/>
      <c r="C248" s="139"/>
    </row>
    <row r="249" spans="1:7" ht="31.5">
      <c r="A249" s="204" t="str">
        <f>'Анализ стоимости'!$I$37</f>
        <v>Глава Сергиевского сельского поселения Кореновского района</v>
      </c>
      <c r="B249" s="205"/>
      <c r="C249" s="141" t="str">
        <f>CONCATENATE("_____________________ ",'Анализ стоимости'!$I$38)</f>
        <v>_____________________ С.А. Басеев </v>
      </c>
      <c r="G249" s="164" t="str">
        <f>A249</f>
        <v>Глава Сергиевского сельского поселения Кореновского района</v>
      </c>
    </row>
    <row r="250" spans="1:7" s="153" customFormat="1" ht="15.75">
      <c r="A250" s="96"/>
      <c r="B250" s="144"/>
      <c r="C250" s="96"/>
      <c r="F250" s="154"/>
      <c r="G250" s="165"/>
    </row>
    <row r="251" spans="1:7" s="153" customFormat="1" ht="15.75">
      <c r="A251" s="196"/>
      <c r="B251" s="196"/>
      <c r="C251" s="94"/>
      <c r="F251" s="154"/>
      <c r="G251" s="165"/>
    </row>
    <row r="252" spans="1:3" ht="15.75">
      <c r="A252" s="196"/>
      <c r="B252" s="196"/>
      <c r="C252" s="94"/>
    </row>
    <row r="253" spans="1:3" ht="18.75">
      <c r="A253" s="207" t="s">
        <v>35</v>
      </c>
      <c r="B253" s="207"/>
      <c r="C253" s="207"/>
    </row>
    <row r="254" spans="1:6" ht="63">
      <c r="A254" s="206" t="str">
        <f>F254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254" s="206"/>
      <c r="C254" s="206"/>
      <c r="F25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255" spans="1:6" ht="15.75">
      <c r="A255" s="206" t="str">
        <f>F255</f>
        <v>Наименование объекта: </v>
      </c>
      <c r="B255" s="206"/>
      <c r="C255" s="206"/>
      <c r="F255" s="146" t="str">
        <f>CONCATENATE("Наименование объекта: ",VLOOKUP($E$13,'Анализ стоимости'!$A$4:$DF$38,9,0))</f>
        <v>Наименование объекта: </v>
      </c>
    </row>
    <row r="256" spans="1:5" ht="15.75">
      <c r="A256" s="196" t="s">
        <v>53</v>
      </c>
      <c r="B256" s="196"/>
      <c r="C256" s="196"/>
      <c r="E256" s="147"/>
    </row>
    <row r="257" spans="1:3" ht="15.75">
      <c r="A257" s="197" t="s">
        <v>109</v>
      </c>
      <c r="B257" s="197"/>
      <c r="C257" s="197"/>
    </row>
    <row r="258" spans="1:3" ht="15.75">
      <c r="A258" s="197" t="str">
        <f>CONCATENATE("учетом сроков строительства и НДС: ",FIXED(C288,0)," руб.")</f>
        <v>учетом сроков строительства и НДС: 0 руб.</v>
      </c>
      <c r="B258" s="197"/>
      <c r="C258" s="97"/>
    </row>
    <row r="259" spans="1:7" s="104" customFormat="1" ht="7.5" thickBot="1">
      <c r="A259" s="148"/>
      <c r="B259" s="149"/>
      <c r="C259" s="148"/>
      <c r="F259" s="150"/>
      <c r="G259" s="162"/>
    </row>
    <row r="260" spans="1:3" ht="17.25" thickBot="1" thickTop="1">
      <c r="A260" s="198" t="s">
        <v>54</v>
      </c>
      <c r="B260" s="199"/>
      <c r="C260" s="200"/>
    </row>
    <row r="261" spans="1:3" ht="39" thickBot="1">
      <c r="A261" s="107" t="s">
        <v>28</v>
      </c>
      <c r="B261" s="108" t="s">
        <v>58</v>
      </c>
      <c r="C261" s="107" t="s">
        <v>141</v>
      </c>
    </row>
    <row r="262" spans="1:3" ht="15.75">
      <c r="A262" s="110">
        <v>1</v>
      </c>
      <c r="B262" s="111" t="s">
        <v>42</v>
      </c>
      <c r="C262" s="112">
        <f>VLOOKUP($E$13,'Анализ стоимости'!$A$4:$DF$38,11,0)</f>
        <v>0</v>
      </c>
    </row>
    <row r="263" spans="1:3" ht="15.75">
      <c r="A263" s="113">
        <v>2</v>
      </c>
      <c r="B263" s="114" t="s">
        <v>65</v>
      </c>
      <c r="C263" s="115">
        <f>VLOOKUP($E$13,'Анализ стоимости'!$A$4:$DF$38,12,0)</f>
        <v>0</v>
      </c>
    </row>
    <row r="264" spans="1:3" ht="31.5">
      <c r="A264" s="113">
        <v>3</v>
      </c>
      <c r="B264" s="114" t="s">
        <v>75</v>
      </c>
      <c r="C264" s="115">
        <f>VLOOKUP($E$13,'Анализ стоимости'!$A$4:$DF$38,13,0)</f>
        <v>0</v>
      </c>
    </row>
    <row r="265" spans="1:3" ht="15.75">
      <c r="A265" s="113">
        <v>4</v>
      </c>
      <c r="B265" s="114" t="s">
        <v>66</v>
      </c>
      <c r="C265" s="115">
        <f>VLOOKUP($E$13,'Анализ стоимости'!$A$4:$DF$38,14,0)</f>
        <v>0</v>
      </c>
    </row>
    <row r="266" spans="1:3" ht="15.75">
      <c r="A266" s="113">
        <v>5</v>
      </c>
      <c r="B266" s="114" t="s">
        <v>76</v>
      </c>
      <c r="C266" s="115">
        <f>VLOOKUP($E$13,'Анализ стоимости'!$A$4:$DF$38,15,0)</f>
        <v>0</v>
      </c>
    </row>
    <row r="267" spans="1:3" ht="15.75">
      <c r="A267" s="113">
        <v>6</v>
      </c>
      <c r="B267" s="114" t="s">
        <v>33</v>
      </c>
      <c r="C267" s="115">
        <f>VLOOKUP($E$13,'Анализ стоимости'!$A$4:$DF$38,19,0)</f>
        <v>0</v>
      </c>
    </row>
    <row r="268" spans="1:3" ht="15.75">
      <c r="A268" s="113">
        <v>7</v>
      </c>
      <c r="B268" s="114" t="s">
        <v>51</v>
      </c>
      <c r="C268" s="115">
        <f>VLOOKUP($E$13,'Анализ стоимости'!$A$4:$DF$38,20,0)+VLOOKUP($E$13,'Анализ стоимости'!$A$4:$DF$38,22,0)+VLOOKUP($E$13,'Анализ стоимости'!$A$4:$DF$38,23,0)+VLOOKUP($E$13,'Анализ стоимости'!$A$4:$DF$38,24,0)+VLOOKUP($E$13,'Анализ стоимости'!$A$4:$DF$38,25,0)+VLOOKUP($E$13,'Анализ стоимости'!$A$4:$DF$38,26,0)+VLOOKUP($E$13,'Анализ стоимости'!$A$4:$DF$38,27,0)+VLOOKUP($E$13,'Анализ стоимости'!$A$4:$DF$38,28,0)+VLOOKUP($E$13,'Анализ стоимости'!$A$4:$DF$38,33,0)</f>
        <v>0</v>
      </c>
    </row>
    <row r="269" spans="1:9" ht="16.5" thickBot="1">
      <c r="A269" s="116"/>
      <c r="B269" s="117" t="s">
        <v>69</v>
      </c>
      <c r="C269" s="118">
        <f>SUM(C262:C268)</f>
        <v>0</v>
      </c>
      <c r="H269" s="109"/>
      <c r="I269" s="109"/>
    </row>
    <row r="270" spans="1:3" ht="16.5" thickBot="1">
      <c r="A270" s="201" t="s">
        <v>59</v>
      </c>
      <c r="B270" s="202"/>
      <c r="C270" s="203"/>
    </row>
    <row r="271" spans="1:3" ht="26.25" thickBot="1">
      <c r="A271" s="119" t="s">
        <v>28</v>
      </c>
      <c r="B271" s="108" t="s">
        <v>38</v>
      </c>
      <c r="C271" s="107" t="s">
        <v>60</v>
      </c>
    </row>
    <row r="272" spans="1:3" ht="15.75">
      <c r="A272" s="120"/>
      <c r="B272" s="121" t="s">
        <v>111</v>
      </c>
      <c r="C272" s="122"/>
    </row>
    <row r="273" spans="1:3" ht="15.75">
      <c r="A273" s="120"/>
      <c r="B273" s="114" t="s">
        <v>39</v>
      </c>
      <c r="C273" s="123">
        <f>IF(VLOOKUP($E$13,'Анализ стоимости'!$A$4:$DF$38,65,0)=0,0,DATE(2012,VLOOKUP($E$13,'Анализ стоимости'!$A$4:$DF$38,65,0),15))</f>
        <v>40923</v>
      </c>
    </row>
    <row r="274" spans="1:3" ht="15.75">
      <c r="A274" s="120"/>
      <c r="B274" s="114" t="s">
        <v>31</v>
      </c>
      <c r="C274" s="123">
        <f>IF(C273=0,0,DATE(2012,VLOOKUP($E$13,'Анализ стоимости'!$A$4:$DF$38,66,0),15))</f>
        <v>41258</v>
      </c>
    </row>
    <row r="275" spans="1:3" ht="25.5">
      <c r="A275" s="120"/>
      <c r="B275" s="124" t="s">
        <v>104</v>
      </c>
      <c r="C275" s="125">
        <f>IF(C273=0,0,VLOOKUP($E$13,'Анализ стоимости'!$A$4:$DF$38,71,0)+1)</f>
        <v>1.0725</v>
      </c>
    </row>
    <row r="276" spans="1:3" ht="15.75">
      <c r="A276" s="120"/>
      <c r="B276" s="134" t="s">
        <v>112</v>
      </c>
      <c r="C276" s="127">
        <f>VLOOKUP($E$13,'Анализ стоимости'!$A$4:$DF$38,43,0)</f>
        <v>0</v>
      </c>
    </row>
    <row r="277" spans="1:3" ht="15.75">
      <c r="A277" s="120"/>
      <c r="B277" s="114" t="s">
        <v>32</v>
      </c>
      <c r="C277" s="115">
        <f>VLOOKUP($E$13,'Анализ стоимости'!$A$4:$DF$38,48,0)</f>
        <v>0</v>
      </c>
    </row>
    <row r="278" spans="1:5" ht="15.75">
      <c r="A278" s="120"/>
      <c r="B278" s="114" t="s">
        <v>82</v>
      </c>
      <c r="C278" s="115">
        <f>VLOOKUP($E$13,'Анализ стоимости'!$A$4:$DF$38,53,0)</f>
        <v>0</v>
      </c>
      <c r="E278" s="140">
        <f>VLOOKUP($E$13,'Анализ стоимости'!$A$4:$DF$38,73,0)</f>
        <v>0</v>
      </c>
    </row>
    <row r="279" spans="1:5" ht="16.5" thickBot="1">
      <c r="A279" s="128"/>
      <c r="B279" s="129" t="s">
        <v>140</v>
      </c>
      <c r="C279" s="130">
        <f>SUM(C276:C278)</f>
        <v>0</v>
      </c>
      <c r="E279" s="140">
        <f>VLOOKUP($E$13,'Анализ стоимости'!$A$4:$DF$38,64)</f>
        <v>0</v>
      </c>
    </row>
    <row r="280" spans="1:3" ht="15.75" hidden="1" outlineLevel="1">
      <c r="A280" s="131"/>
      <c r="B280" s="132" t="s">
        <v>136</v>
      </c>
      <c r="C280" s="133"/>
    </row>
    <row r="281" spans="1:3" ht="15.75" hidden="1" outlineLevel="1">
      <c r="A281" s="120"/>
      <c r="B281" s="114" t="s">
        <v>39</v>
      </c>
      <c r="C281" s="123">
        <f>IF(VLOOKUP($E$13,'Анализ стоимости'!$A$4:$DF$38,7,0)="да",IF(VLOOKUP($E$13,'Анализ стоимости'!$A$4:$DF$38,67,0)=0,0,DATE(2013,VLOOKUP($E$13,'Анализ стоимости'!$A$4:$DF$38,67,0),15)),0)</f>
        <v>0</v>
      </c>
    </row>
    <row r="282" spans="1:3" ht="15.75" hidden="1" outlineLevel="1">
      <c r="A282" s="120"/>
      <c r="B282" s="114" t="s">
        <v>31</v>
      </c>
      <c r="C282" s="123">
        <f>IF(C281=0,0,DATE(2013,VLOOKUP($E$13,'Анализ стоимости'!$A$4:$DF$38,68,0),15))</f>
        <v>0</v>
      </c>
    </row>
    <row r="283" spans="1:3" ht="25.5" hidden="1" outlineLevel="1">
      <c r="A283" s="120"/>
      <c r="B283" s="124" t="s">
        <v>104</v>
      </c>
      <c r="C283" s="125">
        <f>IF(C281=0,0,VLOOKUP($E$13,'Анализ стоимости'!$A$4:$DF$38,72,0)+1)</f>
        <v>0</v>
      </c>
    </row>
    <row r="284" spans="1:3" ht="15.75" hidden="1" outlineLevel="1">
      <c r="A284" s="120"/>
      <c r="B284" s="134" t="s">
        <v>137</v>
      </c>
      <c r="C284" s="115">
        <f>C269-C276</f>
        <v>0</v>
      </c>
    </row>
    <row r="285" spans="1:3" ht="15.75" hidden="1" outlineLevel="1">
      <c r="A285" s="120"/>
      <c r="B285" s="114" t="s">
        <v>32</v>
      </c>
      <c r="C285" s="115">
        <f>VLOOKUP($E$13,'Анализ стоимости'!$A$4:$DF$38,58,0)</f>
        <v>0</v>
      </c>
    </row>
    <row r="286" spans="1:3" ht="15.75" hidden="1" outlineLevel="1">
      <c r="A286" s="120"/>
      <c r="B286" s="114" t="s">
        <v>82</v>
      </c>
      <c r="C286" s="115">
        <f>VLOOKUP($E$13,'Анализ стоимости'!$A$4:$DF$38,63,0)</f>
        <v>0</v>
      </c>
    </row>
    <row r="287" spans="1:3" ht="16.5" hidden="1" outlineLevel="1" thickBot="1">
      <c r="A287" s="128"/>
      <c r="B287" s="129" t="s">
        <v>138</v>
      </c>
      <c r="C287" s="130">
        <f>SUM(C284:C286)</f>
        <v>0</v>
      </c>
    </row>
    <row r="288" spans="1:5" ht="16.5" hidden="1" outlineLevel="1" collapsed="1" thickBot="1">
      <c r="A288" s="135"/>
      <c r="B288" s="136" t="s">
        <v>70</v>
      </c>
      <c r="C288" s="151">
        <f>ROUND(C279+C287,0)</f>
        <v>0</v>
      </c>
      <c r="E288" s="152">
        <f>IF(E$13=0,0,C288)</f>
        <v>0</v>
      </c>
    </row>
    <row r="289" spans="1:3" ht="15.75" collapsed="1">
      <c r="A289" s="137"/>
      <c r="B289" s="138"/>
      <c r="C289" s="139"/>
    </row>
    <row r="290" spans="1:3" ht="15.75">
      <c r="A290" s="137"/>
      <c r="B290" s="138"/>
      <c r="C290" s="139"/>
    </row>
    <row r="291" spans="1:7" ht="31.5">
      <c r="A291" s="204" t="str">
        <f>'Анализ стоимости'!$I$37</f>
        <v>Глава Сергиевского сельского поселения Кореновского района</v>
      </c>
      <c r="B291" s="205"/>
      <c r="C291" s="141" t="str">
        <f>CONCATENATE("_____________________ ",'Анализ стоимости'!$I$38)</f>
        <v>_____________________ С.А. Басеев </v>
      </c>
      <c r="G291" s="164" t="str">
        <f>A291</f>
        <v>Глава Сергиевского сельского поселения Кореновского района</v>
      </c>
    </row>
    <row r="292" spans="1:7" s="153" customFormat="1" ht="15.75">
      <c r="A292" s="96"/>
      <c r="B292" s="144"/>
      <c r="C292" s="96"/>
      <c r="F292" s="154"/>
      <c r="G292" s="165"/>
    </row>
    <row r="293" spans="1:7" s="153" customFormat="1" ht="15.75">
      <c r="A293" s="196"/>
      <c r="B293" s="196"/>
      <c r="C293" s="94"/>
      <c r="F293" s="154"/>
      <c r="G293" s="165"/>
    </row>
    <row r="294" spans="1:3" ht="15.75">
      <c r="A294" s="196"/>
      <c r="B294" s="196"/>
      <c r="C294" s="94"/>
    </row>
    <row r="295" spans="1:3" ht="18.75">
      <c r="A295" s="207" t="s">
        <v>35</v>
      </c>
      <c r="B295" s="207"/>
      <c r="C295" s="207"/>
    </row>
    <row r="296" spans="1:6" ht="63">
      <c r="A296" s="206" t="str">
        <f>F296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296" s="206"/>
      <c r="C296" s="206"/>
      <c r="F29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297" spans="1:6" ht="15.75">
      <c r="A297" s="206" t="str">
        <f>F297</f>
        <v>Наименование объекта: </v>
      </c>
      <c r="B297" s="206"/>
      <c r="C297" s="206"/>
      <c r="F297" s="146" t="str">
        <f>CONCATENATE("Наименование объекта: ",VLOOKUP($E$14,'Анализ стоимости'!$A$4:$DF$38,9,0))</f>
        <v>Наименование объекта: </v>
      </c>
    </row>
    <row r="298" spans="1:5" ht="15.75">
      <c r="A298" s="196" t="s">
        <v>53</v>
      </c>
      <c r="B298" s="196"/>
      <c r="C298" s="196"/>
      <c r="E298" s="147"/>
    </row>
    <row r="299" spans="1:3" ht="15.75">
      <c r="A299" s="197" t="s">
        <v>109</v>
      </c>
      <c r="B299" s="197"/>
      <c r="C299" s="197"/>
    </row>
    <row r="300" spans="1:3" ht="15.75">
      <c r="A300" s="197" t="str">
        <f>CONCATENATE("учетом сроков строительства и НДС: ",FIXED(C330,0)," руб.")</f>
        <v>учетом сроков строительства и НДС: 0 руб.</v>
      </c>
      <c r="B300" s="197"/>
      <c r="C300" s="97"/>
    </row>
    <row r="301" spans="1:7" s="104" customFormat="1" ht="7.5" thickBot="1">
      <c r="A301" s="148"/>
      <c r="B301" s="149"/>
      <c r="C301" s="148"/>
      <c r="F301" s="150"/>
      <c r="G301" s="162"/>
    </row>
    <row r="302" spans="1:3" ht="17.25" thickBot="1" thickTop="1">
      <c r="A302" s="198" t="s">
        <v>54</v>
      </c>
      <c r="B302" s="199"/>
      <c r="C302" s="200"/>
    </row>
    <row r="303" spans="1:3" ht="39" thickBot="1">
      <c r="A303" s="107" t="s">
        <v>28</v>
      </c>
      <c r="B303" s="108" t="s">
        <v>58</v>
      </c>
      <c r="C303" s="107" t="s">
        <v>141</v>
      </c>
    </row>
    <row r="304" spans="1:3" ht="15.75">
      <c r="A304" s="110">
        <v>1</v>
      </c>
      <c r="B304" s="111" t="s">
        <v>42</v>
      </c>
      <c r="C304" s="112">
        <f>VLOOKUP($E$14,'Анализ стоимости'!$A$4:$DF$38,11,0)</f>
        <v>0</v>
      </c>
    </row>
    <row r="305" spans="1:3" ht="15.75">
      <c r="A305" s="113">
        <v>2</v>
      </c>
      <c r="B305" s="114" t="s">
        <v>65</v>
      </c>
      <c r="C305" s="115">
        <f>VLOOKUP($E$14,'Анализ стоимости'!$A$4:$DF$38,12,0)</f>
        <v>0</v>
      </c>
    </row>
    <row r="306" spans="1:3" ht="31.5">
      <c r="A306" s="113">
        <v>3</v>
      </c>
      <c r="B306" s="114" t="s">
        <v>75</v>
      </c>
      <c r="C306" s="115">
        <f>VLOOKUP($E$14,'Анализ стоимости'!$A$4:$DF$38,13,0)</f>
        <v>0</v>
      </c>
    </row>
    <row r="307" spans="1:3" ht="15.75">
      <c r="A307" s="113">
        <v>4</v>
      </c>
      <c r="B307" s="114" t="s">
        <v>66</v>
      </c>
      <c r="C307" s="115">
        <f>VLOOKUP($E$14,'Анализ стоимости'!$A$4:$DF$38,14,0)</f>
        <v>0</v>
      </c>
    </row>
    <row r="308" spans="1:3" ht="15.75">
      <c r="A308" s="113">
        <v>5</v>
      </c>
      <c r="B308" s="114" t="s">
        <v>76</v>
      </c>
      <c r="C308" s="115">
        <f>VLOOKUP($E$14,'Анализ стоимости'!$A$4:$DF$38,15,0)</f>
        <v>0</v>
      </c>
    </row>
    <row r="309" spans="1:3" ht="15.75">
      <c r="A309" s="113">
        <v>6</v>
      </c>
      <c r="B309" s="114" t="s">
        <v>33</v>
      </c>
      <c r="C309" s="115">
        <f>VLOOKUP($E$14,'Анализ стоимости'!$A$4:$DF$38,19,0)</f>
        <v>0</v>
      </c>
    </row>
    <row r="310" spans="1:3" ht="15.75">
      <c r="A310" s="113">
        <v>7</v>
      </c>
      <c r="B310" s="114" t="s">
        <v>51</v>
      </c>
      <c r="C310" s="115">
        <f>VLOOKUP($E$14,'Анализ стоимости'!$A$4:$DF$38,20,0)+VLOOKUP($E$14,'Анализ стоимости'!$A$4:$DF$38,22,0)+VLOOKUP($E$14,'Анализ стоимости'!$A$4:$DF$38,23,0)+VLOOKUP($E$14,'Анализ стоимости'!$A$4:$DF$38,24,0)+VLOOKUP($E$14,'Анализ стоимости'!$A$4:$DF$38,25,0)+VLOOKUP($E$14,'Анализ стоимости'!$A$4:$DF$38,26,0)+VLOOKUP($E$14,'Анализ стоимости'!$A$4:$DF$38,27,0)+VLOOKUP($E$14,'Анализ стоимости'!$A$4:$DF$38,28,0)+VLOOKUP($E$14,'Анализ стоимости'!$A$4:$DF$38,33,0)</f>
        <v>0</v>
      </c>
    </row>
    <row r="311" spans="1:9" ht="16.5" thickBot="1">
      <c r="A311" s="116"/>
      <c r="B311" s="117" t="s">
        <v>69</v>
      </c>
      <c r="C311" s="118">
        <f>SUM(C304:C310)</f>
        <v>0</v>
      </c>
      <c r="H311" s="109"/>
      <c r="I311" s="109"/>
    </row>
    <row r="312" spans="1:3" ht="16.5" thickBot="1">
      <c r="A312" s="201" t="s">
        <v>59</v>
      </c>
      <c r="B312" s="202"/>
      <c r="C312" s="203"/>
    </row>
    <row r="313" spans="1:3" ht="26.25" thickBot="1">
      <c r="A313" s="119" t="s">
        <v>28</v>
      </c>
      <c r="B313" s="108" t="s">
        <v>38</v>
      </c>
      <c r="C313" s="107" t="s">
        <v>60</v>
      </c>
    </row>
    <row r="314" spans="1:3" ht="15.75">
      <c r="A314" s="120"/>
      <c r="B314" s="121" t="s">
        <v>111</v>
      </c>
      <c r="C314" s="122"/>
    </row>
    <row r="315" spans="1:3" ht="15.75">
      <c r="A315" s="120"/>
      <c r="B315" s="114" t="s">
        <v>39</v>
      </c>
      <c r="C315" s="123">
        <f>IF(VLOOKUP($E$14,'Анализ стоимости'!$A$4:$DF$38,65,0)=0,0,DATE(2012,VLOOKUP($E$14,'Анализ стоимости'!$A$4:$DF$38,65,0),15))</f>
        <v>40923</v>
      </c>
    </row>
    <row r="316" spans="1:3" ht="15.75">
      <c r="A316" s="120"/>
      <c r="B316" s="114" t="s">
        <v>31</v>
      </c>
      <c r="C316" s="123">
        <f>IF(C315=0,0,DATE(2012,VLOOKUP($E$14,'Анализ стоимости'!$A$4:$DF$38,66,0),15))</f>
        <v>41258</v>
      </c>
    </row>
    <row r="317" spans="1:3" ht="25.5">
      <c r="A317" s="120"/>
      <c r="B317" s="124" t="s">
        <v>104</v>
      </c>
      <c r="C317" s="125">
        <f>IF(C315=0,0,VLOOKUP($E$14,'Анализ стоимости'!$A$4:$DF$38,71,0)+1)</f>
        <v>1.0725</v>
      </c>
    </row>
    <row r="318" spans="1:3" ht="15.75">
      <c r="A318" s="120"/>
      <c r="B318" s="134" t="s">
        <v>112</v>
      </c>
      <c r="C318" s="127">
        <f>VLOOKUP($E$14,'Анализ стоимости'!$A$4:$DF$38,43,0)</f>
        <v>0</v>
      </c>
    </row>
    <row r="319" spans="1:3" ht="15.75">
      <c r="A319" s="120"/>
      <c r="B319" s="114" t="s">
        <v>32</v>
      </c>
      <c r="C319" s="115">
        <f>VLOOKUP($E$14,'Анализ стоимости'!$A$4:$DF$38,48,0)</f>
        <v>0</v>
      </c>
    </row>
    <row r="320" spans="1:5" ht="15.75">
      <c r="A320" s="120"/>
      <c r="B320" s="114" t="s">
        <v>82</v>
      </c>
      <c r="C320" s="115">
        <f>VLOOKUP($E$14,'Анализ стоимости'!$A$4:$DF$38,53,0)</f>
        <v>0</v>
      </c>
      <c r="E320" s="140">
        <f>VLOOKUP($E$14,'Анализ стоимости'!$A$4:$DF$38,73,0)</f>
        <v>0</v>
      </c>
    </row>
    <row r="321" spans="1:5" ht="16.5" thickBot="1">
      <c r="A321" s="128"/>
      <c r="B321" s="129" t="s">
        <v>140</v>
      </c>
      <c r="C321" s="130">
        <f>SUM(C318:C320)</f>
        <v>0</v>
      </c>
      <c r="E321" s="140">
        <f>VLOOKUP($E$14,'Анализ стоимости'!$A$4:$DF$38,64)</f>
        <v>0</v>
      </c>
    </row>
    <row r="322" spans="1:3" ht="15.75" hidden="1" outlineLevel="1">
      <c r="A322" s="131"/>
      <c r="B322" s="132" t="s">
        <v>136</v>
      </c>
      <c r="C322" s="133"/>
    </row>
    <row r="323" spans="1:3" ht="15.75" hidden="1" outlineLevel="1">
      <c r="A323" s="120"/>
      <c r="B323" s="114" t="s">
        <v>39</v>
      </c>
      <c r="C323" s="123">
        <f>IF(VLOOKUP($E$14,'Анализ стоимости'!$A$4:$DF$38,7,0)="да",IF(VLOOKUP($E$14,'Анализ стоимости'!$A$4:$DF$38,67,0)=0,0,DATE(2013,VLOOKUP($E$14,'Анализ стоимости'!$A$4:$DF$38,67,0),15)),0)</f>
        <v>0</v>
      </c>
    </row>
    <row r="324" spans="1:3" ht="15.75" hidden="1" outlineLevel="1">
      <c r="A324" s="120"/>
      <c r="B324" s="114" t="s">
        <v>31</v>
      </c>
      <c r="C324" s="123">
        <f>IF(C323=0,0,DATE(2013,VLOOKUP($E$14,'Анализ стоимости'!$A$4:$DF$38,68,0),15))</f>
        <v>0</v>
      </c>
    </row>
    <row r="325" spans="1:3" ht="25.5" hidden="1" outlineLevel="1">
      <c r="A325" s="120"/>
      <c r="B325" s="124" t="s">
        <v>104</v>
      </c>
      <c r="C325" s="125">
        <f>IF(C323=0,0,VLOOKUP($E$14,'Анализ стоимости'!$A$4:$DF$38,72,0)+1)</f>
        <v>0</v>
      </c>
    </row>
    <row r="326" spans="1:3" ht="15.75" hidden="1" outlineLevel="1">
      <c r="A326" s="120"/>
      <c r="B326" s="134" t="s">
        <v>137</v>
      </c>
      <c r="C326" s="115">
        <f>C311-C318</f>
        <v>0</v>
      </c>
    </row>
    <row r="327" spans="1:3" ht="15.75" hidden="1" outlineLevel="1">
      <c r="A327" s="120"/>
      <c r="B327" s="114" t="s">
        <v>32</v>
      </c>
      <c r="C327" s="115">
        <f>VLOOKUP($E$14,'Анализ стоимости'!$A$4:$DF$38,58,0)</f>
        <v>0</v>
      </c>
    </row>
    <row r="328" spans="1:3" ht="15.75" hidden="1" outlineLevel="1">
      <c r="A328" s="120"/>
      <c r="B328" s="114" t="s">
        <v>82</v>
      </c>
      <c r="C328" s="115">
        <f>VLOOKUP($E$14,'Анализ стоимости'!$A$4:$DF$38,63,0)</f>
        <v>0</v>
      </c>
    </row>
    <row r="329" spans="1:3" ht="16.5" hidden="1" outlineLevel="1" thickBot="1">
      <c r="A329" s="128"/>
      <c r="B329" s="129" t="s">
        <v>138</v>
      </c>
      <c r="C329" s="130">
        <f>SUM(C326:C328)</f>
        <v>0</v>
      </c>
    </row>
    <row r="330" spans="1:5" ht="16.5" hidden="1" outlineLevel="1" collapsed="1" thickBot="1">
      <c r="A330" s="135"/>
      <c r="B330" s="136" t="s">
        <v>70</v>
      </c>
      <c r="C330" s="151">
        <f>ROUND(C321+C329,0)</f>
        <v>0</v>
      </c>
      <c r="E330" s="152">
        <f>IF(E$14=0,0,C330)</f>
        <v>0</v>
      </c>
    </row>
    <row r="331" spans="1:3" ht="15.75" collapsed="1">
      <c r="A331" s="137"/>
      <c r="B331" s="138"/>
      <c r="C331" s="139"/>
    </row>
    <row r="332" spans="1:3" ht="15.75">
      <c r="A332" s="137"/>
      <c r="B332" s="138"/>
      <c r="C332" s="139"/>
    </row>
    <row r="333" spans="1:7" ht="31.5">
      <c r="A333" s="204" t="str">
        <f>'Анализ стоимости'!$I$37</f>
        <v>Глава Сергиевского сельского поселения Кореновского района</v>
      </c>
      <c r="B333" s="205"/>
      <c r="C333" s="141" t="str">
        <f>CONCATENATE("_____________________ ",'Анализ стоимости'!$I$38)</f>
        <v>_____________________ С.А. Басеев </v>
      </c>
      <c r="G333" s="164" t="str">
        <f>A333</f>
        <v>Глава Сергиевского сельского поселения Кореновского района</v>
      </c>
    </row>
    <row r="334" spans="1:7" s="153" customFormat="1" ht="15.75">
      <c r="A334" s="96"/>
      <c r="B334" s="144"/>
      <c r="C334" s="96"/>
      <c r="F334" s="154"/>
      <c r="G334" s="165"/>
    </row>
    <row r="335" spans="1:7" s="153" customFormat="1" ht="15.75">
      <c r="A335" s="196"/>
      <c r="B335" s="196"/>
      <c r="C335" s="94"/>
      <c r="F335" s="154"/>
      <c r="G335" s="165"/>
    </row>
    <row r="336" spans="1:3" ht="15.75">
      <c r="A336" s="196"/>
      <c r="B336" s="196"/>
      <c r="C336" s="94"/>
    </row>
    <row r="337" spans="1:3" ht="18.75">
      <c r="A337" s="207" t="s">
        <v>35</v>
      </c>
      <c r="B337" s="207"/>
      <c r="C337" s="207"/>
    </row>
    <row r="338" spans="1:6" ht="63">
      <c r="A338" s="206" t="str">
        <f>F338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338" s="206"/>
      <c r="C338" s="206"/>
      <c r="F33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339" spans="1:6" ht="15.75">
      <c r="A339" s="206" t="str">
        <f>F339</f>
        <v>Наименование объекта: </v>
      </c>
      <c r="B339" s="206"/>
      <c r="C339" s="206"/>
      <c r="F339" s="146" t="str">
        <f>CONCATENATE("Наименование объекта: ",VLOOKUP($E$15,'Анализ стоимости'!$A$4:$DF$38,9,0))</f>
        <v>Наименование объекта: </v>
      </c>
    </row>
    <row r="340" spans="1:5" ht="15.75">
      <c r="A340" s="196" t="s">
        <v>53</v>
      </c>
      <c r="B340" s="196"/>
      <c r="C340" s="196"/>
      <c r="E340" s="147"/>
    </row>
    <row r="341" spans="1:3" ht="15.75">
      <c r="A341" s="197" t="s">
        <v>109</v>
      </c>
      <c r="B341" s="197"/>
      <c r="C341" s="197"/>
    </row>
    <row r="342" spans="1:3" ht="15.75">
      <c r="A342" s="197" t="str">
        <f>CONCATENATE("учетом сроков строительства и НДС: ",FIXED(C372,0)," руб.")</f>
        <v>учетом сроков строительства и НДС: 0 руб.</v>
      </c>
      <c r="B342" s="197"/>
      <c r="C342" s="97"/>
    </row>
    <row r="343" spans="1:7" s="104" customFormat="1" ht="7.5" thickBot="1">
      <c r="A343" s="148"/>
      <c r="B343" s="149"/>
      <c r="C343" s="148"/>
      <c r="F343" s="150"/>
      <c r="G343" s="162"/>
    </row>
    <row r="344" spans="1:3" ht="17.25" thickBot="1" thickTop="1">
      <c r="A344" s="198" t="s">
        <v>54</v>
      </c>
      <c r="B344" s="199"/>
      <c r="C344" s="200"/>
    </row>
    <row r="345" spans="1:3" ht="39" thickBot="1">
      <c r="A345" s="107" t="s">
        <v>28</v>
      </c>
      <c r="B345" s="108" t="s">
        <v>58</v>
      </c>
      <c r="C345" s="107" t="s">
        <v>141</v>
      </c>
    </row>
    <row r="346" spans="1:3" ht="15.75">
      <c r="A346" s="110">
        <v>1</v>
      </c>
      <c r="B346" s="111" t="s">
        <v>42</v>
      </c>
      <c r="C346" s="112">
        <f>VLOOKUP($E$15,'Анализ стоимости'!$A$4:$DF$38,11,0)</f>
        <v>0</v>
      </c>
    </row>
    <row r="347" spans="1:3" ht="15.75">
      <c r="A347" s="113">
        <v>2</v>
      </c>
      <c r="B347" s="114" t="s">
        <v>65</v>
      </c>
      <c r="C347" s="115">
        <f>VLOOKUP($E$15,'Анализ стоимости'!$A$4:$DF$38,12,0)</f>
        <v>0</v>
      </c>
    </row>
    <row r="348" spans="1:3" ht="31.5">
      <c r="A348" s="113">
        <v>3</v>
      </c>
      <c r="B348" s="114" t="s">
        <v>75</v>
      </c>
      <c r="C348" s="115">
        <f>VLOOKUP($E$15,'Анализ стоимости'!$A$4:$DF$38,13,0)</f>
        <v>0</v>
      </c>
    </row>
    <row r="349" spans="1:3" ht="15.75">
      <c r="A349" s="113">
        <v>4</v>
      </c>
      <c r="B349" s="114" t="s">
        <v>66</v>
      </c>
      <c r="C349" s="115">
        <f>VLOOKUP($E$15,'Анализ стоимости'!$A$4:$DF$38,14,0)</f>
        <v>0</v>
      </c>
    </row>
    <row r="350" spans="1:3" ht="15.75">
      <c r="A350" s="113">
        <v>5</v>
      </c>
      <c r="B350" s="114" t="s">
        <v>76</v>
      </c>
      <c r="C350" s="115">
        <f>VLOOKUP($E$15,'Анализ стоимости'!$A$4:$DF$38,15,0)</f>
        <v>0</v>
      </c>
    </row>
    <row r="351" spans="1:3" ht="15.75">
      <c r="A351" s="113">
        <v>6</v>
      </c>
      <c r="B351" s="114" t="s">
        <v>33</v>
      </c>
      <c r="C351" s="115">
        <f>VLOOKUP($E$15,'Анализ стоимости'!$A$4:$DF$38,19,0)</f>
        <v>0</v>
      </c>
    </row>
    <row r="352" spans="1:3" ht="15.75">
      <c r="A352" s="113">
        <v>7</v>
      </c>
      <c r="B352" s="114" t="s">
        <v>51</v>
      </c>
      <c r="C352" s="115">
        <f>VLOOKUP($E$15,'Анализ стоимости'!$A$4:$DF$38,20,0)+VLOOKUP($E$15,'Анализ стоимости'!$A$4:$DF$38,22,0)+VLOOKUP($E$15,'Анализ стоимости'!$A$4:$DF$38,23,0)+VLOOKUP($E$15,'Анализ стоимости'!$A$4:$DF$38,24,0)+VLOOKUP($E$15,'Анализ стоимости'!$A$4:$DF$38,25,0)+VLOOKUP($E$15,'Анализ стоимости'!$A$4:$DF$38,26,0)+VLOOKUP($E$15,'Анализ стоимости'!$A$4:$DF$38,27,0)+VLOOKUP($E$15,'Анализ стоимости'!$A$4:$DF$38,28,0)+VLOOKUP($E$15,'Анализ стоимости'!$A$4:$DF$38,33,0)</f>
        <v>0</v>
      </c>
    </row>
    <row r="353" spans="1:9" ht="16.5" thickBot="1">
      <c r="A353" s="116"/>
      <c r="B353" s="117" t="s">
        <v>69</v>
      </c>
      <c r="C353" s="118">
        <f>SUM(C346:C352)</f>
        <v>0</v>
      </c>
      <c r="H353" s="109"/>
      <c r="I353" s="109"/>
    </row>
    <row r="354" spans="1:3" ht="16.5" thickBot="1">
      <c r="A354" s="201" t="s">
        <v>59</v>
      </c>
      <c r="B354" s="202"/>
      <c r="C354" s="203"/>
    </row>
    <row r="355" spans="1:3" ht="26.25" thickBot="1">
      <c r="A355" s="119" t="s">
        <v>28</v>
      </c>
      <c r="B355" s="108" t="s">
        <v>38</v>
      </c>
      <c r="C355" s="107" t="s">
        <v>60</v>
      </c>
    </row>
    <row r="356" spans="1:3" ht="15.75">
      <c r="A356" s="120"/>
      <c r="B356" s="121" t="s">
        <v>111</v>
      </c>
      <c r="C356" s="122"/>
    </row>
    <row r="357" spans="1:3" ht="15.75">
      <c r="A357" s="120"/>
      <c r="B357" s="114" t="s">
        <v>39</v>
      </c>
      <c r="C357" s="123">
        <f>IF(VLOOKUP($E$15,'Анализ стоимости'!$A$4:$DF$38,65,0)=0,0,DATE(2012,VLOOKUP($E$15,'Анализ стоимости'!$A$4:$DF$38,65,0),15))</f>
        <v>40923</v>
      </c>
    </row>
    <row r="358" spans="1:3" ht="15.75">
      <c r="A358" s="120"/>
      <c r="B358" s="114" t="s">
        <v>31</v>
      </c>
      <c r="C358" s="123">
        <f>IF(C357=0,0,DATE(2012,VLOOKUP($E$15,'Анализ стоимости'!$A$4:$DF$38,66,0),15))</f>
        <v>41258</v>
      </c>
    </row>
    <row r="359" spans="1:3" ht="25.5">
      <c r="A359" s="120"/>
      <c r="B359" s="124" t="s">
        <v>104</v>
      </c>
      <c r="C359" s="125">
        <f>IF(C357=0,0,VLOOKUP($E$15,'Анализ стоимости'!$A$4:$DF$38,71,0)+1)</f>
        <v>1.0725</v>
      </c>
    </row>
    <row r="360" spans="1:3" ht="15.75">
      <c r="A360" s="120"/>
      <c r="B360" s="134" t="s">
        <v>112</v>
      </c>
      <c r="C360" s="127">
        <f>VLOOKUP($E$15,'Анализ стоимости'!$A$4:$DF$38,43,0)</f>
        <v>0</v>
      </c>
    </row>
    <row r="361" spans="1:3" ht="15.75">
      <c r="A361" s="120"/>
      <c r="B361" s="114" t="s">
        <v>32</v>
      </c>
      <c r="C361" s="115">
        <f>VLOOKUP($E$15,'Анализ стоимости'!$A$4:$DF$38,48,0)</f>
        <v>0</v>
      </c>
    </row>
    <row r="362" spans="1:5" ht="15.75">
      <c r="A362" s="120"/>
      <c r="B362" s="114" t="s">
        <v>82</v>
      </c>
      <c r="C362" s="115">
        <f>VLOOKUP($E$15,'Анализ стоимости'!$A$4:$DF$38,53,0)</f>
        <v>0</v>
      </c>
      <c r="E362" s="140">
        <f>VLOOKUP($E$15,'Анализ стоимости'!$A$4:$DF$38,73,0)</f>
        <v>0</v>
      </c>
    </row>
    <row r="363" spans="1:5" ht="16.5" thickBot="1">
      <c r="A363" s="128"/>
      <c r="B363" s="129" t="s">
        <v>140</v>
      </c>
      <c r="C363" s="130">
        <f>SUM(C360:C362)</f>
        <v>0</v>
      </c>
      <c r="E363" s="140">
        <f>VLOOKUP($E$15,'Анализ стоимости'!$A$4:$DF$38,64)</f>
        <v>0</v>
      </c>
    </row>
    <row r="364" spans="1:3" ht="15.75" hidden="1" outlineLevel="1">
      <c r="A364" s="131"/>
      <c r="B364" s="132" t="s">
        <v>136</v>
      </c>
      <c r="C364" s="133"/>
    </row>
    <row r="365" spans="1:3" ht="15.75" hidden="1" outlineLevel="1">
      <c r="A365" s="120"/>
      <c r="B365" s="114" t="s">
        <v>39</v>
      </c>
      <c r="C365" s="123">
        <f>IF(VLOOKUP($E$15,'Анализ стоимости'!$A$4:$DF$38,7,0)="да",IF(VLOOKUP($E$15,'Анализ стоимости'!$A$4:$DF$38,67,0)=0,0,DATE(2013,VLOOKUP($E$15,'Анализ стоимости'!$A$4:$DF$38,67,0),15)),0)</f>
        <v>0</v>
      </c>
    </row>
    <row r="366" spans="1:3" ht="15.75" hidden="1" outlineLevel="1">
      <c r="A366" s="120"/>
      <c r="B366" s="114" t="s">
        <v>31</v>
      </c>
      <c r="C366" s="123">
        <f>IF(C365=0,0,DATE(2013,VLOOKUP($E$15,'Анализ стоимости'!$A$4:$DF$38,68,0),15))</f>
        <v>0</v>
      </c>
    </row>
    <row r="367" spans="1:3" ht="25.5" hidden="1" outlineLevel="1">
      <c r="A367" s="120"/>
      <c r="B367" s="124" t="s">
        <v>104</v>
      </c>
      <c r="C367" s="125">
        <f>IF(C365=0,0,VLOOKUP($E$15,'Анализ стоимости'!$A$4:$DF$38,72,0)+1)</f>
        <v>0</v>
      </c>
    </row>
    <row r="368" spans="1:3" ht="15.75" hidden="1" outlineLevel="1">
      <c r="A368" s="120"/>
      <c r="B368" s="134" t="s">
        <v>137</v>
      </c>
      <c r="C368" s="115">
        <f>C353-C360</f>
        <v>0</v>
      </c>
    </row>
    <row r="369" spans="1:3" ht="15.75" hidden="1" outlineLevel="1">
      <c r="A369" s="120"/>
      <c r="B369" s="114" t="s">
        <v>32</v>
      </c>
      <c r="C369" s="115">
        <f>VLOOKUP($E$15,'Анализ стоимости'!$A$4:$DF$38,58,0)</f>
        <v>0</v>
      </c>
    </row>
    <row r="370" spans="1:3" ht="15.75" hidden="1" outlineLevel="1">
      <c r="A370" s="120"/>
      <c r="B370" s="114" t="s">
        <v>82</v>
      </c>
      <c r="C370" s="115">
        <f>VLOOKUP($E$15,'Анализ стоимости'!$A$4:$DF$38,63,0)</f>
        <v>0</v>
      </c>
    </row>
    <row r="371" spans="1:3" ht="16.5" hidden="1" outlineLevel="1" thickBot="1">
      <c r="A371" s="128"/>
      <c r="B371" s="129" t="s">
        <v>138</v>
      </c>
      <c r="C371" s="130">
        <f>SUM(C368:C370)</f>
        <v>0</v>
      </c>
    </row>
    <row r="372" spans="1:5" ht="16.5" hidden="1" outlineLevel="1" collapsed="1" thickBot="1">
      <c r="A372" s="135"/>
      <c r="B372" s="136" t="s">
        <v>70</v>
      </c>
      <c r="C372" s="151">
        <f>ROUND(C363+C371,0)</f>
        <v>0</v>
      </c>
      <c r="E372" s="152">
        <f>IF(E$15=0,0,C372)</f>
        <v>0</v>
      </c>
    </row>
    <row r="373" spans="1:3" ht="15.75" collapsed="1">
      <c r="A373" s="137"/>
      <c r="B373" s="138"/>
      <c r="C373" s="139"/>
    </row>
    <row r="374" spans="1:3" ht="15.75">
      <c r="A374" s="137"/>
      <c r="B374" s="138"/>
      <c r="C374" s="139"/>
    </row>
    <row r="375" spans="1:7" ht="31.5">
      <c r="A375" s="204" t="str">
        <f>'Анализ стоимости'!$I$37</f>
        <v>Глава Сергиевского сельского поселения Кореновского района</v>
      </c>
      <c r="B375" s="205"/>
      <c r="C375" s="141" t="str">
        <f>CONCATENATE("_____________________ ",'Анализ стоимости'!$I$38)</f>
        <v>_____________________ С.А. Басеев </v>
      </c>
      <c r="G375" s="164" t="str">
        <f>A375</f>
        <v>Глава Сергиевского сельского поселения Кореновского района</v>
      </c>
    </row>
    <row r="376" spans="1:7" s="153" customFormat="1" ht="15.75">
      <c r="A376" s="96"/>
      <c r="B376" s="144"/>
      <c r="C376" s="96"/>
      <c r="F376" s="154"/>
      <c r="G376" s="165"/>
    </row>
    <row r="377" spans="1:7" s="153" customFormat="1" ht="15.75">
      <c r="A377" s="196"/>
      <c r="B377" s="196"/>
      <c r="C377" s="94"/>
      <c r="F377" s="154"/>
      <c r="G377" s="165"/>
    </row>
    <row r="378" spans="1:3" ht="15.75">
      <c r="A378" s="196"/>
      <c r="B378" s="196"/>
      <c r="C378" s="94"/>
    </row>
    <row r="379" spans="1:3" ht="18.75">
      <c r="A379" s="207" t="s">
        <v>35</v>
      </c>
      <c r="B379" s="207"/>
      <c r="C379" s="207"/>
    </row>
    <row r="380" spans="1:6" ht="63">
      <c r="A380" s="206" t="str">
        <f>F380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380" s="206"/>
      <c r="C380" s="206"/>
      <c r="F38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381" spans="1:6" ht="15.75">
      <c r="A381" s="206" t="str">
        <f>F381</f>
        <v>Наименование объекта: </v>
      </c>
      <c r="B381" s="206"/>
      <c r="C381" s="206"/>
      <c r="F381" s="146" t="str">
        <f>CONCATENATE("Наименование объекта: ",VLOOKUP($E$16,'Анализ стоимости'!$A$4:$DF$38,9,0))</f>
        <v>Наименование объекта: </v>
      </c>
    </row>
    <row r="382" spans="1:5" ht="15.75">
      <c r="A382" s="196" t="s">
        <v>53</v>
      </c>
      <c r="B382" s="196"/>
      <c r="C382" s="196"/>
      <c r="E382" s="147"/>
    </row>
    <row r="383" spans="1:3" ht="15.75">
      <c r="A383" s="197" t="s">
        <v>109</v>
      </c>
      <c r="B383" s="197"/>
      <c r="C383" s="197"/>
    </row>
    <row r="384" spans="1:3" ht="15.75">
      <c r="A384" s="197" t="str">
        <f>CONCATENATE("учетом сроков строительства и НДС: ",FIXED(C414,0)," руб.")</f>
        <v>учетом сроков строительства и НДС: 0 руб.</v>
      </c>
      <c r="B384" s="197"/>
      <c r="C384" s="97"/>
    </row>
    <row r="385" spans="1:7" s="104" customFormat="1" ht="7.5" thickBot="1">
      <c r="A385" s="148"/>
      <c r="B385" s="149"/>
      <c r="C385" s="148"/>
      <c r="F385" s="150"/>
      <c r="G385" s="162"/>
    </row>
    <row r="386" spans="1:3" ht="17.25" thickBot="1" thickTop="1">
      <c r="A386" s="198" t="s">
        <v>54</v>
      </c>
      <c r="B386" s="199"/>
      <c r="C386" s="200"/>
    </row>
    <row r="387" spans="1:3" ht="39" thickBot="1">
      <c r="A387" s="107" t="s">
        <v>28</v>
      </c>
      <c r="B387" s="108" t="s">
        <v>58</v>
      </c>
      <c r="C387" s="107" t="s">
        <v>141</v>
      </c>
    </row>
    <row r="388" spans="1:3" ht="15.75">
      <c r="A388" s="110">
        <v>1</v>
      </c>
      <c r="B388" s="111" t="s">
        <v>42</v>
      </c>
      <c r="C388" s="112">
        <f>VLOOKUP($E$16,'Анализ стоимости'!$A$4:$DF$38,11,0)</f>
        <v>0</v>
      </c>
    </row>
    <row r="389" spans="1:3" ht="15.75">
      <c r="A389" s="113">
        <v>2</v>
      </c>
      <c r="B389" s="114" t="s">
        <v>65</v>
      </c>
      <c r="C389" s="115">
        <f>VLOOKUP($E$16,'Анализ стоимости'!$A$4:$DF$38,12,0)</f>
        <v>0</v>
      </c>
    </row>
    <row r="390" spans="1:3" ht="31.5">
      <c r="A390" s="113">
        <v>3</v>
      </c>
      <c r="B390" s="114" t="s">
        <v>75</v>
      </c>
      <c r="C390" s="115">
        <f>VLOOKUP($E$16,'Анализ стоимости'!$A$4:$DF$38,13,0)</f>
        <v>0</v>
      </c>
    </row>
    <row r="391" spans="1:3" ht="15.75">
      <c r="A391" s="113">
        <v>4</v>
      </c>
      <c r="B391" s="114" t="s">
        <v>66</v>
      </c>
      <c r="C391" s="115">
        <f>VLOOKUP($E$16,'Анализ стоимости'!$A$4:$DF$38,14,0)</f>
        <v>0</v>
      </c>
    </row>
    <row r="392" spans="1:3" ht="15.75">
      <c r="A392" s="113">
        <v>5</v>
      </c>
      <c r="B392" s="114" t="s">
        <v>76</v>
      </c>
      <c r="C392" s="115">
        <f>VLOOKUP($E$16,'Анализ стоимости'!$A$4:$DF$38,15,0)</f>
        <v>0</v>
      </c>
    </row>
    <row r="393" spans="1:3" ht="15.75">
      <c r="A393" s="113">
        <v>6</v>
      </c>
      <c r="B393" s="114" t="s">
        <v>33</v>
      </c>
      <c r="C393" s="115">
        <f>VLOOKUP($E$16,'Анализ стоимости'!$A$4:$DF$38,19,0)</f>
        <v>0</v>
      </c>
    </row>
    <row r="394" spans="1:3" ht="15.75">
      <c r="A394" s="113">
        <v>7</v>
      </c>
      <c r="B394" s="114" t="s">
        <v>51</v>
      </c>
      <c r="C394" s="115">
        <f>VLOOKUP($E$16,'Анализ стоимости'!$A$4:$DF$38,20,0)+VLOOKUP($E$16,'Анализ стоимости'!$A$4:$DF$38,22,0)+VLOOKUP($E$16,'Анализ стоимости'!$A$4:$DF$38,23,0)+VLOOKUP($E$16,'Анализ стоимости'!$A$4:$DF$38,24,0)+VLOOKUP($E$16,'Анализ стоимости'!$A$4:$DF$38,25,0)+VLOOKUP($E$16,'Анализ стоимости'!$A$4:$DF$38,26,0)+VLOOKUP($E$16,'Анализ стоимости'!$A$4:$DF$38,27,0)+VLOOKUP($E$16,'Анализ стоимости'!$A$4:$DF$38,28,0)+VLOOKUP($E$16,'Анализ стоимости'!$A$4:$DF$38,33,0)</f>
        <v>0</v>
      </c>
    </row>
    <row r="395" spans="1:9" ht="16.5" thickBot="1">
      <c r="A395" s="116"/>
      <c r="B395" s="117" t="s">
        <v>69</v>
      </c>
      <c r="C395" s="118">
        <f>SUM(C388:C394)</f>
        <v>0</v>
      </c>
      <c r="H395" s="109"/>
      <c r="I395" s="109"/>
    </row>
    <row r="396" spans="1:3" ht="16.5" thickBot="1">
      <c r="A396" s="201" t="s">
        <v>59</v>
      </c>
      <c r="B396" s="202"/>
      <c r="C396" s="203"/>
    </row>
    <row r="397" spans="1:3" ht="26.25" thickBot="1">
      <c r="A397" s="119" t="s">
        <v>28</v>
      </c>
      <c r="B397" s="108" t="s">
        <v>38</v>
      </c>
      <c r="C397" s="107" t="s">
        <v>60</v>
      </c>
    </row>
    <row r="398" spans="1:3" ht="15.75">
      <c r="A398" s="120"/>
      <c r="B398" s="121" t="s">
        <v>111</v>
      </c>
      <c r="C398" s="122"/>
    </row>
    <row r="399" spans="1:3" ht="15.75">
      <c r="A399" s="120"/>
      <c r="B399" s="114" t="s">
        <v>39</v>
      </c>
      <c r="C399" s="123">
        <f>IF(VLOOKUP($E$16,'Анализ стоимости'!$A$4:$DF$38,65,0)=0,0,DATE(2012,VLOOKUP($E$16,'Анализ стоимости'!$A$4:$DF$38,65,0),15))</f>
        <v>40923</v>
      </c>
    </row>
    <row r="400" spans="1:3" ht="15.75">
      <c r="A400" s="120"/>
      <c r="B400" s="114" t="s">
        <v>31</v>
      </c>
      <c r="C400" s="123">
        <f>IF(C399=0,0,DATE(2012,VLOOKUP($E$16,'Анализ стоимости'!$A$4:$DF$38,66,0),15))</f>
        <v>41258</v>
      </c>
    </row>
    <row r="401" spans="1:3" ht="25.5">
      <c r="A401" s="120"/>
      <c r="B401" s="124" t="s">
        <v>104</v>
      </c>
      <c r="C401" s="125">
        <f>IF(C399=0,0,VLOOKUP($E$16,'Анализ стоимости'!$A$4:$DF$38,71,0)+1)</f>
        <v>1.0725</v>
      </c>
    </row>
    <row r="402" spans="1:3" ht="15.75">
      <c r="A402" s="120"/>
      <c r="B402" s="134" t="s">
        <v>112</v>
      </c>
      <c r="C402" s="127">
        <f>VLOOKUP($E$16,'Анализ стоимости'!$A$4:$DF$38,43,0)</f>
        <v>0</v>
      </c>
    </row>
    <row r="403" spans="1:3" ht="15.75">
      <c r="A403" s="120"/>
      <c r="B403" s="114" t="s">
        <v>32</v>
      </c>
      <c r="C403" s="115">
        <f>VLOOKUP($E$16,'Анализ стоимости'!$A$4:$DF$38,48,0)</f>
        <v>0</v>
      </c>
    </row>
    <row r="404" spans="1:5" ht="15.75">
      <c r="A404" s="120"/>
      <c r="B404" s="114" t="s">
        <v>82</v>
      </c>
      <c r="C404" s="115">
        <f>VLOOKUP($E$16,'Анализ стоимости'!$A$4:$DF$38,53,0)</f>
        <v>0</v>
      </c>
      <c r="E404" s="140">
        <f>VLOOKUP($E$16,'Анализ стоимости'!$A$4:$DF$38,73,0)</f>
        <v>0</v>
      </c>
    </row>
    <row r="405" spans="1:5" ht="16.5" thickBot="1">
      <c r="A405" s="128"/>
      <c r="B405" s="129" t="s">
        <v>140</v>
      </c>
      <c r="C405" s="130">
        <f>SUM(C402:C404)</f>
        <v>0</v>
      </c>
      <c r="E405" s="140">
        <f>VLOOKUP($E$16,'Анализ стоимости'!$A$4:$DF$38,64)</f>
        <v>0</v>
      </c>
    </row>
    <row r="406" spans="1:3" ht="15.75" hidden="1" outlineLevel="1">
      <c r="A406" s="131"/>
      <c r="B406" s="132" t="s">
        <v>136</v>
      </c>
      <c r="C406" s="133"/>
    </row>
    <row r="407" spans="1:3" ht="15.75" hidden="1" outlineLevel="1">
      <c r="A407" s="120"/>
      <c r="B407" s="114" t="s">
        <v>39</v>
      </c>
      <c r="C407" s="123">
        <f>IF(VLOOKUP($E$16,'Анализ стоимости'!$A$4:$DF$38,7,0)="да",IF(VLOOKUP($E$16,'Анализ стоимости'!$A$4:$DF$38,67,0)=0,0,DATE(2013,VLOOKUP($E$16,'Анализ стоимости'!$A$4:$DF$38,67,0),15)),0)</f>
        <v>0</v>
      </c>
    </row>
    <row r="408" spans="1:3" ht="15.75" hidden="1" outlineLevel="1">
      <c r="A408" s="120"/>
      <c r="B408" s="114" t="s">
        <v>31</v>
      </c>
      <c r="C408" s="123">
        <f>IF(C407=0,0,DATE(2013,VLOOKUP($E$16,'Анализ стоимости'!$A$4:$DF$38,68,0),15))</f>
        <v>0</v>
      </c>
    </row>
    <row r="409" spans="1:3" ht="25.5" hidden="1" outlineLevel="1">
      <c r="A409" s="120"/>
      <c r="B409" s="124" t="s">
        <v>104</v>
      </c>
      <c r="C409" s="125">
        <f>IF(C407=0,0,VLOOKUP($E$16,'Анализ стоимости'!$A$4:$DF$38,72,0)+1)</f>
        <v>0</v>
      </c>
    </row>
    <row r="410" spans="1:3" ht="15.75" hidden="1" outlineLevel="1">
      <c r="A410" s="120"/>
      <c r="B410" s="134" t="s">
        <v>137</v>
      </c>
      <c r="C410" s="115">
        <f>C395-C402</f>
        <v>0</v>
      </c>
    </row>
    <row r="411" spans="1:3" ht="15.75" hidden="1" outlineLevel="1">
      <c r="A411" s="120"/>
      <c r="B411" s="114" t="s">
        <v>32</v>
      </c>
      <c r="C411" s="115">
        <f>VLOOKUP($E$16,'Анализ стоимости'!$A$4:$DF$38,58,0)</f>
        <v>0</v>
      </c>
    </row>
    <row r="412" spans="1:3" ht="15.75" hidden="1" outlineLevel="1">
      <c r="A412" s="120"/>
      <c r="B412" s="114" t="s">
        <v>82</v>
      </c>
      <c r="C412" s="115">
        <f>VLOOKUP($E$16,'Анализ стоимости'!$A$4:$DF$38,63,0)</f>
        <v>0</v>
      </c>
    </row>
    <row r="413" spans="1:3" ht="16.5" hidden="1" outlineLevel="1" thickBot="1">
      <c r="A413" s="128"/>
      <c r="B413" s="129" t="s">
        <v>138</v>
      </c>
      <c r="C413" s="130">
        <f>SUM(C410:C412)</f>
        <v>0</v>
      </c>
    </row>
    <row r="414" spans="1:5" ht="16.5" hidden="1" outlineLevel="1" collapsed="1" thickBot="1">
      <c r="A414" s="135"/>
      <c r="B414" s="136" t="s">
        <v>70</v>
      </c>
      <c r="C414" s="151">
        <f>ROUND(C405+C413,0)</f>
        <v>0</v>
      </c>
      <c r="E414" s="152">
        <f>IF(E$16=0,0,C414)</f>
        <v>0</v>
      </c>
    </row>
    <row r="415" spans="1:3" ht="15.75" collapsed="1">
      <c r="A415" s="137"/>
      <c r="B415" s="138"/>
      <c r="C415" s="139"/>
    </row>
    <row r="416" spans="1:3" ht="15.75">
      <c r="A416" s="137"/>
      <c r="B416" s="138"/>
      <c r="C416" s="139"/>
    </row>
    <row r="417" spans="1:7" ht="31.5">
      <c r="A417" s="204" t="str">
        <f>'Анализ стоимости'!$I$37</f>
        <v>Глава Сергиевского сельского поселения Кореновского района</v>
      </c>
      <c r="B417" s="205"/>
      <c r="C417" s="141" t="str">
        <f>CONCATENATE("_____________________ ",'Анализ стоимости'!$I$38)</f>
        <v>_____________________ С.А. Басеев </v>
      </c>
      <c r="G417" s="164" t="str">
        <f>A417</f>
        <v>Глава Сергиевского сельского поселения Кореновского района</v>
      </c>
    </row>
    <row r="418" spans="1:7" s="153" customFormat="1" ht="15.75">
      <c r="A418" s="96"/>
      <c r="B418" s="144"/>
      <c r="C418" s="96"/>
      <c r="F418" s="154"/>
      <c r="G418" s="165"/>
    </row>
    <row r="419" spans="1:7" s="153" customFormat="1" ht="15.75">
      <c r="A419" s="196"/>
      <c r="B419" s="196"/>
      <c r="C419" s="94"/>
      <c r="F419" s="154"/>
      <c r="G419" s="165"/>
    </row>
    <row r="420" spans="1:3" ht="15.75">
      <c r="A420" s="196"/>
      <c r="B420" s="196"/>
      <c r="C420" s="94"/>
    </row>
    <row r="421" spans="1:3" ht="18.75">
      <c r="A421" s="207" t="s">
        <v>35</v>
      </c>
      <c r="B421" s="207"/>
      <c r="C421" s="207"/>
    </row>
    <row r="422" spans="1:6" ht="63">
      <c r="A422" s="206" t="str">
        <f>F422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422" s="206"/>
      <c r="C422" s="206"/>
      <c r="F42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423" spans="1:6" ht="15.75">
      <c r="A423" s="206" t="str">
        <f>F423</f>
        <v>Наименование объекта: </v>
      </c>
      <c r="B423" s="206"/>
      <c r="C423" s="206"/>
      <c r="F423" s="146" t="str">
        <f>CONCATENATE("Наименование объекта: ",VLOOKUP($E$17,'Анализ стоимости'!$A$4:$DF$38,9,0))</f>
        <v>Наименование объекта: </v>
      </c>
    </row>
    <row r="424" spans="1:5" ht="15.75">
      <c r="A424" s="196" t="s">
        <v>53</v>
      </c>
      <c r="B424" s="196"/>
      <c r="C424" s="196"/>
      <c r="E424" s="147"/>
    </row>
    <row r="425" spans="1:3" ht="15.75">
      <c r="A425" s="197" t="s">
        <v>109</v>
      </c>
      <c r="B425" s="197"/>
      <c r="C425" s="197"/>
    </row>
    <row r="426" spans="1:3" ht="15.75">
      <c r="A426" s="197" t="str">
        <f>CONCATENATE("учетом сроков строительства и НДС: ",FIXED(C456,0)," руб.")</f>
        <v>учетом сроков строительства и НДС: 0 руб.</v>
      </c>
      <c r="B426" s="197"/>
      <c r="C426" s="97"/>
    </row>
    <row r="427" spans="1:7" s="104" customFormat="1" ht="7.5" thickBot="1">
      <c r="A427" s="148"/>
      <c r="B427" s="149"/>
      <c r="C427" s="148"/>
      <c r="F427" s="150"/>
      <c r="G427" s="162"/>
    </row>
    <row r="428" spans="1:3" ht="17.25" thickBot="1" thickTop="1">
      <c r="A428" s="198" t="s">
        <v>54</v>
      </c>
      <c r="B428" s="199"/>
      <c r="C428" s="200"/>
    </row>
    <row r="429" spans="1:3" ht="39" thickBot="1">
      <c r="A429" s="107" t="s">
        <v>28</v>
      </c>
      <c r="B429" s="108" t="s">
        <v>58</v>
      </c>
      <c r="C429" s="107" t="s">
        <v>141</v>
      </c>
    </row>
    <row r="430" spans="1:3" ht="15.75">
      <c r="A430" s="110">
        <v>1</v>
      </c>
      <c r="B430" s="111" t="s">
        <v>42</v>
      </c>
      <c r="C430" s="112">
        <f>VLOOKUP($E$17,'Анализ стоимости'!$A$4:$DF$38,11,0)</f>
        <v>0</v>
      </c>
    </row>
    <row r="431" spans="1:3" ht="15.75">
      <c r="A431" s="113">
        <v>2</v>
      </c>
      <c r="B431" s="114" t="s">
        <v>65</v>
      </c>
      <c r="C431" s="115">
        <f>VLOOKUP($E$17,'Анализ стоимости'!$A$4:$DF$38,12,0)</f>
        <v>0</v>
      </c>
    </row>
    <row r="432" spans="1:3" ht="31.5">
      <c r="A432" s="113">
        <v>3</v>
      </c>
      <c r="B432" s="114" t="s">
        <v>75</v>
      </c>
      <c r="C432" s="115">
        <f>VLOOKUP($E$17,'Анализ стоимости'!$A$4:$DF$38,13,0)</f>
        <v>0</v>
      </c>
    </row>
    <row r="433" spans="1:3" ht="15.75">
      <c r="A433" s="113">
        <v>4</v>
      </c>
      <c r="B433" s="114" t="s">
        <v>66</v>
      </c>
      <c r="C433" s="115">
        <f>VLOOKUP($E$17,'Анализ стоимости'!$A$4:$DF$38,14,0)</f>
        <v>0</v>
      </c>
    </row>
    <row r="434" spans="1:3" ht="15.75">
      <c r="A434" s="113">
        <v>5</v>
      </c>
      <c r="B434" s="114" t="s">
        <v>76</v>
      </c>
      <c r="C434" s="115">
        <f>VLOOKUP($E$17,'Анализ стоимости'!$A$4:$DF$38,15,0)</f>
        <v>0</v>
      </c>
    </row>
    <row r="435" spans="1:3" ht="15.75">
      <c r="A435" s="113">
        <v>6</v>
      </c>
      <c r="B435" s="114" t="s">
        <v>33</v>
      </c>
      <c r="C435" s="115">
        <f>VLOOKUP($E$17,'Анализ стоимости'!$A$4:$DF$38,19,0)</f>
        <v>0</v>
      </c>
    </row>
    <row r="436" spans="1:3" ht="15.75">
      <c r="A436" s="113">
        <v>7</v>
      </c>
      <c r="B436" s="114" t="s">
        <v>51</v>
      </c>
      <c r="C436" s="115">
        <f>VLOOKUP($E$17,'Анализ стоимости'!$A$4:$DF$38,20,0)+VLOOKUP($E$17,'Анализ стоимости'!$A$4:$DF$38,22,0)+VLOOKUP($E$17,'Анализ стоимости'!$A$4:$DF$38,23,0)+VLOOKUP($E$17,'Анализ стоимости'!$A$4:$DF$38,24,0)+VLOOKUP($E$17,'Анализ стоимости'!$A$4:$DF$38,25,0)+VLOOKUP($E$17,'Анализ стоимости'!$A$4:$DF$38,26,0)+VLOOKUP($E$17,'Анализ стоимости'!$A$4:$DF$38,27,0)+VLOOKUP($E$17,'Анализ стоимости'!$A$4:$DF$38,28,0)+VLOOKUP($E$17,'Анализ стоимости'!$A$4:$DF$38,33,0)</f>
        <v>0</v>
      </c>
    </row>
    <row r="437" spans="1:9" ht="16.5" thickBot="1">
      <c r="A437" s="116"/>
      <c r="B437" s="117" t="s">
        <v>69</v>
      </c>
      <c r="C437" s="118">
        <f>SUM(C430:C436)</f>
        <v>0</v>
      </c>
      <c r="H437" s="109"/>
      <c r="I437" s="109"/>
    </row>
    <row r="438" spans="1:3" ht="16.5" thickBot="1">
      <c r="A438" s="201" t="s">
        <v>59</v>
      </c>
      <c r="B438" s="202"/>
      <c r="C438" s="203"/>
    </row>
    <row r="439" spans="1:3" ht="26.25" thickBot="1">
      <c r="A439" s="119" t="s">
        <v>28</v>
      </c>
      <c r="B439" s="108" t="s">
        <v>38</v>
      </c>
      <c r="C439" s="107" t="s">
        <v>60</v>
      </c>
    </row>
    <row r="440" spans="1:3" ht="15.75">
      <c r="A440" s="120"/>
      <c r="B440" s="121" t="s">
        <v>111</v>
      </c>
      <c r="C440" s="122"/>
    </row>
    <row r="441" spans="1:3" ht="15.75">
      <c r="A441" s="120"/>
      <c r="B441" s="114" t="s">
        <v>39</v>
      </c>
      <c r="C441" s="123">
        <f>IF(VLOOKUP($E$17,'Анализ стоимости'!$A$4:$DF$38,65,0)=0,0,DATE(2012,VLOOKUP($E$17,'Анализ стоимости'!$A$4:$DF$38,65,0),15))</f>
        <v>40923</v>
      </c>
    </row>
    <row r="442" spans="1:3" ht="15.75">
      <c r="A442" s="120"/>
      <c r="B442" s="114" t="s">
        <v>31</v>
      </c>
      <c r="C442" s="123">
        <f>IF(C441=0,0,DATE(2012,VLOOKUP($E$17,'Анализ стоимости'!$A$4:$DF$38,66,0),15))</f>
        <v>41258</v>
      </c>
    </row>
    <row r="443" spans="1:3" ht="25.5">
      <c r="A443" s="120"/>
      <c r="B443" s="124" t="s">
        <v>104</v>
      </c>
      <c r="C443" s="125">
        <f>IF(C441=0,0,VLOOKUP($E$17,'Анализ стоимости'!$A$4:$DF$38,71,0)+1)</f>
        <v>1.0725</v>
      </c>
    </row>
    <row r="444" spans="1:3" ht="15.75">
      <c r="A444" s="120"/>
      <c r="B444" s="134" t="s">
        <v>112</v>
      </c>
      <c r="C444" s="127">
        <f>VLOOKUP($E$17,'Анализ стоимости'!$A$4:$DF$38,43,0)</f>
        <v>0</v>
      </c>
    </row>
    <row r="445" spans="1:3" ht="15.75">
      <c r="A445" s="120"/>
      <c r="B445" s="114" t="s">
        <v>32</v>
      </c>
      <c r="C445" s="115">
        <f>VLOOKUP($E$17,'Анализ стоимости'!$A$4:$DF$38,48,0)</f>
        <v>0</v>
      </c>
    </row>
    <row r="446" spans="1:5" ht="15.75">
      <c r="A446" s="120"/>
      <c r="B446" s="114" t="s">
        <v>82</v>
      </c>
      <c r="C446" s="115">
        <f>VLOOKUP($E$17,'Анализ стоимости'!$A$4:$DF$38,53,0)</f>
        <v>0</v>
      </c>
      <c r="E446" s="140">
        <f>VLOOKUP($E$17,'Анализ стоимости'!$A$4:$DF$38,73,0)</f>
        <v>0</v>
      </c>
    </row>
    <row r="447" spans="1:5" ht="16.5" thickBot="1">
      <c r="A447" s="128"/>
      <c r="B447" s="129" t="s">
        <v>140</v>
      </c>
      <c r="C447" s="130">
        <f>SUM(C444:C446)</f>
        <v>0</v>
      </c>
      <c r="E447" s="140">
        <f>VLOOKUP($E$17,'Анализ стоимости'!$A$4:$DF$38,64)</f>
        <v>0</v>
      </c>
    </row>
    <row r="448" spans="1:3" ht="15.75" hidden="1" outlineLevel="1">
      <c r="A448" s="131"/>
      <c r="B448" s="132" t="s">
        <v>136</v>
      </c>
      <c r="C448" s="133"/>
    </row>
    <row r="449" spans="1:3" ht="15.75" hidden="1" outlineLevel="1">
      <c r="A449" s="120"/>
      <c r="B449" s="114" t="s">
        <v>39</v>
      </c>
      <c r="C449" s="123">
        <f>IF(VLOOKUP($E$17,'Анализ стоимости'!$A$4:$DF$38,7,0)="да",IF(VLOOKUP($E$17,'Анализ стоимости'!$A$4:$DF$38,67,0)=0,0,DATE(2013,VLOOKUP($E$17,'Анализ стоимости'!$A$4:$DF$38,67,0),15)),0)</f>
        <v>0</v>
      </c>
    </row>
    <row r="450" spans="1:3" ht="15.75" hidden="1" outlineLevel="1">
      <c r="A450" s="120"/>
      <c r="B450" s="114" t="s">
        <v>31</v>
      </c>
      <c r="C450" s="123">
        <f>IF(C449=0,0,DATE(2013,VLOOKUP($E$17,'Анализ стоимости'!$A$4:$DF$38,68,0),15))</f>
        <v>0</v>
      </c>
    </row>
    <row r="451" spans="1:3" ht="25.5" hidden="1" outlineLevel="1">
      <c r="A451" s="120"/>
      <c r="B451" s="124" t="s">
        <v>104</v>
      </c>
      <c r="C451" s="125">
        <f>IF(C449=0,0,VLOOKUP($E$17,'Анализ стоимости'!$A$4:$DF$38,72,0)+1)</f>
        <v>0</v>
      </c>
    </row>
    <row r="452" spans="1:3" ht="15.75" hidden="1" outlineLevel="1">
      <c r="A452" s="120"/>
      <c r="B452" s="134" t="s">
        <v>137</v>
      </c>
      <c r="C452" s="115">
        <f>C437-C444</f>
        <v>0</v>
      </c>
    </row>
    <row r="453" spans="1:3" ht="15.75" hidden="1" outlineLevel="1">
      <c r="A453" s="120"/>
      <c r="B453" s="114" t="s">
        <v>32</v>
      </c>
      <c r="C453" s="115">
        <f>VLOOKUP($E$17,'Анализ стоимости'!$A$4:$DF$38,58,0)</f>
        <v>0</v>
      </c>
    </row>
    <row r="454" spans="1:3" ht="15.75" hidden="1" outlineLevel="1">
      <c r="A454" s="120"/>
      <c r="B454" s="114" t="s">
        <v>82</v>
      </c>
      <c r="C454" s="115">
        <f>VLOOKUP($E$17,'Анализ стоимости'!$A$4:$DF$38,63,0)</f>
        <v>0</v>
      </c>
    </row>
    <row r="455" spans="1:3" ht="16.5" hidden="1" outlineLevel="1" thickBot="1">
      <c r="A455" s="128"/>
      <c r="B455" s="129" t="s">
        <v>138</v>
      </c>
      <c r="C455" s="130">
        <f>SUM(C452:C454)</f>
        <v>0</v>
      </c>
    </row>
    <row r="456" spans="1:5" ht="16.5" hidden="1" outlineLevel="1" collapsed="1" thickBot="1">
      <c r="A456" s="135"/>
      <c r="B456" s="136" t="s">
        <v>70</v>
      </c>
      <c r="C456" s="151">
        <f>ROUND(C447+C455,0)</f>
        <v>0</v>
      </c>
      <c r="E456" s="152">
        <f>IF(E$17=0,0,C456)</f>
        <v>0</v>
      </c>
    </row>
    <row r="457" spans="1:3" ht="15.75" collapsed="1">
      <c r="A457" s="137"/>
      <c r="B457" s="138"/>
      <c r="C457" s="139"/>
    </row>
    <row r="458" spans="1:3" ht="15.75">
      <c r="A458" s="137"/>
      <c r="B458" s="138"/>
      <c r="C458" s="139"/>
    </row>
    <row r="459" spans="1:7" ht="31.5">
      <c r="A459" s="204" t="str">
        <f>'Анализ стоимости'!$I$37</f>
        <v>Глава Сергиевского сельского поселения Кореновского района</v>
      </c>
      <c r="B459" s="205"/>
      <c r="C459" s="141" t="str">
        <f>CONCATENATE("_____________________ ",'Анализ стоимости'!$I$38)</f>
        <v>_____________________ С.А. Басеев </v>
      </c>
      <c r="G459" s="164" t="str">
        <f>A459</f>
        <v>Глава Сергиевского сельского поселения Кореновского района</v>
      </c>
    </row>
    <row r="460" spans="1:7" s="153" customFormat="1" ht="15.75">
      <c r="A460" s="96"/>
      <c r="B460" s="144"/>
      <c r="C460" s="96"/>
      <c r="F460" s="154"/>
      <c r="G460" s="165"/>
    </row>
    <row r="461" spans="1:7" s="153" customFormat="1" ht="15.75">
      <c r="A461" s="196"/>
      <c r="B461" s="196"/>
      <c r="C461" s="94"/>
      <c r="F461" s="154"/>
      <c r="G461" s="165"/>
    </row>
    <row r="462" spans="1:3" ht="15.75">
      <c r="A462" s="196"/>
      <c r="B462" s="196"/>
      <c r="C462" s="94"/>
    </row>
    <row r="463" spans="1:3" ht="18.75">
      <c r="A463" s="207" t="s">
        <v>35</v>
      </c>
      <c r="B463" s="207"/>
      <c r="C463" s="207"/>
    </row>
    <row r="464" spans="1:6" ht="63">
      <c r="A464" s="206" t="str">
        <f>F464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464" s="206"/>
      <c r="C464" s="206"/>
      <c r="F46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465" spans="1:6" ht="15.75">
      <c r="A465" s="206" t="str">
        <f>F465</f>
        <v>Наименование объекта: </v>
      </c>
      <c r="B465" s="206"/>
      <c r="C465" s="206"/>
      <c r="F465" s="146" t="str">
        <f>CONCATENATE("Наименование объекта: ",VLOOKUP($E$18,'Анализ стоимости'!$A$4:$DF$38,9,0))</f>
        <v>Наименование объекта: </v>
      </c>
    </row>
    <row r="466" spans="1:5" ht="15.75">
      <c r="A466" s="196" t="s">
        <v>53</v>
      </c>
      <c r="B466" s="196"/>
      <c r="C466" s="196"/>
      <c r="E466" s="147"/>
    </row>
    <row r="467" spans="1:3" ht="15.75">
      <c r="A467" s="197" t="s">
        <v>109</v>
      </c>
      <c r="B467" s="197"/>
      <c r="C467" s="197"/>
    </row>
    <row r="468" spans="1:3" ht="15.75">
      <c r="A468" s="197" t="str">
        <f>CONCATENATE("учетом сроков строительства и НДС: ",FIXED(C498,0)," руб.")</f>
        <v>учетом сроков строительства и НДС: 0 руб.</v>
      </c>
      <c r="B468" s="197"/>
      <c r="C468" s="97"/>
    </row>
    <row r="469" spans="1:7" s="104" customFormat="1" ht="7.5" thickBot="1">
      <c r="A469" s="148"/>
      <c r="B469" s="149"/>
      <c r="C469" s="148"/>
      <c r="F469" s="150"/>
      <c r="G469" s="162"/>
    </row>
    <row r="470" spans="1:3" ht="17.25" thickBot="1" thickTop="1">
      <c r="A470" s="198" t="s">
        <v>54</v>
      </c>
      <c r="B470" s="199"/>
      <c r="C470" s="200"/>
    </row>
    <row r="471" spans="1:3" ht="39" thickBot="1">
      <c r="A471" s="107" t="s">
        <v>28</v>
      </c>
      <c r="B471" s="108" t="s">
        <v>58</v>
      </c>
      <c r="C471" s="107" t="s">
        <v>141</v>
      </c>
    </row>
    <row r="472" spans="1:3" ht="15.75">
      <c r="A472" s="110">
        <v>1</v>
      </c>
      <c r="B472" s="111" t="s">
        <v>42</v>
      </c>
      <c r="C472" s="112">
        <f>VLOOKUP($E$18,'Анализ стоимости'!$A$4:$DF$38,11,0)</f>
        <v>0</v>
      </c>
    </row>
    <row r="473" spans="1:3" ht="15.75">
      <c r="A473" s="113">
        <v>2</v>
      </c>
      <c r="B473" s="114" t="s">
        <v>65</v>
      </c>
      <c r="C473" s="115">
        <f>VLOOKUP($E$18,'Анализ стоимости'!$A$4:$DF$38,12,0)</f>
        <v>0</v>
      </c>
    </row>
    <row r="474" spans="1:3" ht="31.5">
      <c r="A474" s="113">
        <v>3</v>
      </c>
      <c r="B474" s="114" t="s">
        <v>75</v>
      </c>
      <c r="C474" s="115">
        <f>VLOOKUP($E$18,'Анализ стоимости'!$A$4:$DF$38,13,0)</f>
        <v>0</v>
      </c>
    </row>
    <row r="475" spans="1:3" ht="15.75">
      <c r="A475" s="113">
        <v>4</v>
      </c>
      <c r="B475" s="114" t="s">
        <v>66</v>
      </c>
      <c r="C475" s="115">
        <f>VLOOKUP($E$18,'Анализ стоимости'!$A$4:$DF$38,14,0)</f>
        <v>0</v>
      </c>
    </row>
    <row r="476" spans="1:3" ht="15.75">
      <c r="A476" s="113">
        <v>5</v>
      </c>
      <c r="B476" s="114" t="s">
        <v>76</v>
      </c>
      <c r="C476" s="115">
        <f>VLOOKUP($E$18,'Анализ стоимости'!$A$4:$DF$38,15,0)</f>
        <v>0</v>
      </c>
    </row>
    <row r="477" spans="1:3" ht="15.75">
      <c r="A477" s="113">
        <v>6</v>
      </c>
      <c r="B477" s="114" t="s">
        <v>33</v>
      </c>
      <c r="C477" s="115">
        <f>VLOOKUP($E$18,'Анализ стоимости'!$A$4:$DF$38,19,0)</f>
        <v>0</v>
      </c>
    </row>
    <row r="478" spans="1:3" ht="15.75">
      <c r="A478" s="113">
        <v>7</v>
      </c>
      <c r="B478" s="114" t="s">
        <v>51</v>
      </c>
      <c r="C478" s="115">
        <f>VLOOKUP($E$18,'Анализ стоимости'!$A$4:$DF$38,20,0)+VLOOKUP($E$18,'Анализ стоимости'!$A$4:$DF$38,22,0)+VLOOKUP($E$18,'Анализ стоимости'!$A$4:$DF$38,23,0)+VLOOKUP($E$18,'Анализ стоимости'!$A$4:$DF$38,24,0)+VLOOKUP($E$18,'Анализ стоимости'!$A$4:$DF$38,25,0)+VLOOKUP($E$18,'Анализ стоимости'!$A$4:$DF$38,26,0)+VLOOKUP($E$18,'Анализ стоимости'!$A$4:$DF$38,27,0)+VLOOKUP($E$18,'Анализ стоимости'!$A$4:$DF$38,28,0)+VLOOKUP($E$18,'Анализ стоимости'!$A$4:$DF$38,33,0)</f>
        <v>0</v>
      </c>
    </row>
    <row r="479" spans="1:9" ht="16.5" thickBot="1">
      <c r="A479" s="116"/>
      <c r="B479" s="117" t="s">
        <v>69</v>
      </c>
      <c r="C479" s="118">
        <f>SUM(C472:C478)</f>
        <v>0</v>
      </c>
      <c r="H479" s="109"/>
      <c r="I479" s="109"/>
    </row>
    <row r="480" spans="1:3" ht="16.5" thickBot="1">
      <c r="A480" s="201" t="s">
        <v>59</v>
      </c>
      <c r="B480" s="202"/>
      <c r="C480" s="203"/>
    </row>
    <row r="481" spans="1:3" ht="26.25" thickBot="1">
      <c r="A481" s="119" t="s">
        <v>28</v>
      </c>
      <c r="B481" s="108" t="s">
        <v>38</v>
      </c>
      <c r="C481" s="107" t="s">
        <v>60</v>
      </c>
    </row>
    <row r="482" spans="1:3" ht="15.75">
      <c r="A482" s="120"/>
      <c r="B482" s="121" t="s">
        <v>111</v>
      </c>
      <c r="C482" s="122"/>
    </row>
    <row r="483" spans="1:3" ht="15.75">
      <c r="A483" s="120"/>
      <c r="B483" s="114" t="s">
        <v>39</v>
      </c>
      <c r="C483" s="123">
        <f>IF(VLOOKUP($E$18,'Анализ стоимости'!$A$4:$DF$38,65,0)=0,0,DATE(2012,VLOOKUP($E$18,'Анализ стоимости'!$A$4:$DF$38,65,0),15))</f>
        <v>40923</v>
      </c>
    </row>
    <row r="484" spans="1:3" ht="15.75">
      <c r="A484" s="120"/>
      <c r="B484" s="114" t="s">
        <v>31</v>
      </c>
      <c r="C484" s="123">
        <f>IF(C483=0,0,DATE(2012,VLOOKUP($E$18,'Анализ стоимости'!$A$4:$DF$38,66,0),15))</f>
        <v>41258</v>
      </c>
    </row>
    <row r="485" spans="1:3" ht="25.5">
      <c r="A485" s="120"/>
      <c r="B485" s="124" t="s">
        <v>104</v>
      </c>
      <c r="C485" s="125">
        <f>IF(C483=0,0,VLOOKUP($E$18,'Анализ стоимости'!$A$4:$DF$38,71,0)+1)</f>
        <v>1.0725</v>
      </c>
    </row>
    <row r="486" spans="1:3" ht="15.75">
      <c r="A486" s="120"/>
      <c r="B486" s="134" t="s">
        <v>112</v>
      </c>
      <c r="C486" s="127">
        <f>VLOOKUP($E$18,'Анализ стоимости'!$A$4:$DF$38,43,0)</f>
        <v>0</v>
      </c>
    </row>
    <row r="487" spans="1:3" ht="15.75">
      <c r="A487" s="120"/>
      <c r="B487" s="114" t="s">
        <v>32</v>
      </c>
      <c r="C487" s="115">
        <f>VLOOKUP($E$18,'Анализ стоимости'!$A$4:$DF$38,48,0)</f>
        <v>0</v>
      </c>
    </row>
    <row r="488" spans="1:5" ht="15.75">
      <c r="A488" s="120"/>
      <c r="B488" s="114" t="s">
        <v>82</v>
      </c>
      <c r="C488" s="115">
        <f>VLOOKUP($E$18,'Анализ стоимости'!$A$4:$DF$38,53,0)</f>
        <v>0</v>
      </c>
      <c r="E488" s="140">
        <f>VLOOKUP($E$18,'Анализ стоимости'!$A$4:$DF$38,73,0)</f>
        <v>0</v>
      </c>
    </row>
    <row r="489" spans="1:5" ht="16.5" thickBot="1">
      <c r="A489" s="128"/>
      <c r="B489" s="129" t="s">
        <v>140</v>
      </c>
      <c r="C489" s="130">
        <f>SUM(C486:C488)</f>
        <v>0</v>
      </c>
      <c r="E489" s="140">
        <f>VLOOKUP($E$18,'Анализ стоимости'!$A$4:$DF$38,64)</f>
        <v>0</v>
      </c>
    </row>
    <row r="490" spans="1:3" ht="15.75" hidden="1" outlineLevel="1">
      <c r="A490" s="131"/>
      <c r="B490" s="132" t="s">
        <v>136</v>
      </c>
      <c r="C490" s="133"/>
    </row>
    <row r="491" spans="1:3" ht="15.75" hidden="1" outlineLevel="1">
      <c r="A491" s="120"/>
      <c r="B491" s="114" t="s">
        <v>39</v>
      </c>
      <c r="C491" s="123">
        <f>IF(VLOOKUP($E$18,'Анализ стоимости'!$A$4:$DF$38,7,0)="да",IF(VLOOKUP($E$18,'Анализ стоимости'!$A$4:$DF$38,67,0)=0,0,DATE(2013,VLOOKUP($E$18,'Анализ стоимости'!$A$4:$DF$38,67,0),15)),0)</f>
        <v>0</v>
      </c>
    </row>
    <row r="492" spans="1:3" ht="15.75" hidden="1" outlineLevel="1">
      <c r="A492" s="120"/>
      <c r="B492" s="114" t="s">
        <v>31</v>
      </c>
      <c r="C492" s="123">
        <f>IF(C491=0,0,DATE(2013,VLOOKUP($E$18,'Анализ стоимости'!$A$4:$DF$38,68,0),15))</f>
        <v>0</v>
      </c>
    </row>
    <row r="493" spans="1:3" ht="25.5" hidden="1" outlineLevel="1">
      <c r="A493" s="120"/>
      <c r="B493" s="124" t="s">
        <v>104</v>
      </c>
      <c r="C493" s="125">
        <f>IF(C491=0,0,VLOOKUP($E$18,'Анализ стоимости'!$A$4:$DF$38,72,0)+1)</f>
        <v>0</v>
      </c>
    </row>
    <row r="494" spans="1:3" ht="15.75" hidden="1" outlineLevel="1">
      <c r="A494" s="120"/>
      <c r="B494" s="134" t="s">
        <v>137</v>
      </c>
      <c r="C494" s="115">
        <f>C479-C486</f>
        <v>0</v>
      </c>
    </row>
    <row r="495" spans="1:3" ht="15.75" hidden="1" outlineLevel="1">
      <c r="A495" s="120"/>
      <c r="B495" s="114" t="s">
        <v>32</v>
      </c>
      <c r="C495" s="115">
        <f>VLOOKUP($E$18,'Анализ стоимости'!$A$4:$DF$38,58,0)</f>
        <v>0</v>
      </c>
    </row>
    <row r="496" spans="1:3" ht="15.75" hidden="1" outlineLevel="1">
      <c r="A496" s="120"/>
      <c r="B496" s="114" t="s">
        <v>82</v>
      </c>
      <c r="C496" s="115">
        <f>VLOOKUP($E$18,'Анализ стоимости'!$A$4:$DF$38,63,0)</f>
        <v>0</v>
      </c>
    </row>
    <row r="497" spans="1:3" ht="16.5" hidden="1" outlineLevel="1" thickBot="1">
      <c r="A497" s="128"/>
      <c r="B497" s="129" t="s">
        <v>138</v>
      </c>
      <c r="C497" s="130">
        <f>SUM(C494:C496)</f>
        <v>0</v>
      </c>
    </row>
    <row r="498" spans="1:5" ht="16.5" hidden="1" outlineLevel="1" collapsed="1" thickBot="1">
      <c r="A498" s="135"/>
      <c r="B498" s="136" t="s">
        <v>70</v>
      </c>
      <c r="C498" s="151">
        <f>ROUND(C489+C497,0)</f>
        <v>0</v>
      </c>
      <c r="E498" s="152">
        <f>IF(E$18=0,0,C498)</f>
        <v>0</v>
      </c>
    </row>
    <row r="499" spans="1:3" ht="15.75" collapsed="1">
      <c r="A499" s="137"/>
      <c r="B499" s="138"/>
      <c r="C499" s="139"/>
    </row>
    <row r="500" spans="1:3" ht="15.75">
      <c r="A500" s="137"/>
      <c r="B500" s="138"/>
      <c r="C500" s="139"/>
    </row>
    <row r="501" spans="1:7" ht="31.5">
      <c r="A501" s="204" t="str">
        <f>'Анализ стоимости'!$I$37</f>
        <v>Глава Сергиевского сельского поселения Кореновского района</v>
      </c>
      <c r="B501" s="205"/>
      <c r="C501" s="141" t="str">
        <f>CONCATENATE("_____________________ ",'Анализ стоимости'!$I$38)</f>
        <v>_____________________ С.А. Басеев </v>
      </c>
      <c r="G501" s="164" t="str">
        <f>A501</f>
        <v>Глава Сергиевского сельского поселения Кореновского района</v>
      </c>
    </row>
    <row r="502" spans="1:7" s="153" customFormat="1" ht="15.75">
      <c r="A502" s="96"/>
      <c r="B502" s="144"/>
      <c r="C502" s="96"/>
      <c r="F502" s="154"/>
      <c r="G502" s="165"/>
    </row>
    <row r="503" spans="1:7" s="153" customFormat="1" ht="15.75">
      <c r="A503" s="196"/>
      <c r="B503" s="196"/>
      <c r="C503" s="94"/>
      <c r="F503" s="154"/>
      <c r="G503" s="165"/>
    </row>
    <row r="504" spans="1:3" ht="15.75">
      <c r="A504" s="196"/>
      <c r="B504" s="196"/>
      <c r="C504" s="94"/>
    </row>
    <row r="505" spans="1:3" ht="18.75">
      <c r="A505" s="207" t="s">
        <v>35</v>
      </c>
      <c r="B505" s="207"/>
      <c r="C505" s="207"/>
    </row>
    <row r="506" spans="1:6" ht="63">
      <c r="A506" s="206" t="str">
        <f>F506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506" s="206"/>
      <c r="C506" s="206"/>
      <c r="F50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507" spans="1:6" ht="15.75">
      <c r="A507" s="206" t="str">
        <f>F507</f>
        <v>Наименование объекта: </v>
      </c>
      <c r="B507" s="206"/>
      <c r="C507" s="206"/>
      <c r="F507" s="146" t="str">
        <f>CONCATENATE("Наименование объекта: ",VLOOKUP($E$19,'Анализ стоимости'!$A$4:$DF$38,9,0))</f>
        <v>Наименование объекта: </v>
      </c>
    </row>
    <row r="508" spans="1:5" ht="15.75">
      <c r="A508" s="196" t="s">
        <v>53</v>
      </c>
      <c r="B508" s="196"/>
      <c r="C508" s="196"/>
      <c r="E508" s="147"/>
    </row>
    <row r="509" spans="1:3" ht="15.75">
      <c r="A509" s="197" t="s">
        <v>109</v>
      </c>
      <c r="B509" s="197"/>
      <c r="C509" s="197"/>
    </row>
    <row r="510" spans="1:3" ht="15.75">
      <c r="A510" s="197" t="str">
        <f>CONCATENATE("учетом сроков строительства и НДС: ",FIXED(C540,0)," руб.")</f>
        <v>учетом сроков строительства и НДС: 0 руб.</v>
      </c>
      <c r="B510" s="197"/>
      <c r="C510" s="97"/>
    </row>
    <row r="511" spans="1:7" s="104" customFormat="1" ht="7.5" thickBot="1">
      <c r="A511" s="148"/>
      <c r="B511" s="149"/>
      <c r="C511" s="148"/>
      <c r="F511" s="150"/>
      <c r="G511" s="162"/>
    </row>
    <row r="512" spans="1:3" ht="17.25" thickBot="1" thickTop="1">
      <c r="A512" s="198" t="s">
        <v>54</v>
      </c>
      <c r="B512" s="199"/>
      <c r="C512" s="200"/>
    </row>
    <row r="513" spans="1:3" ht="39" thickBot="1">
      <c r="A513" s="107" t="s">
        <v>28</v>
      </c>
      <c r="B513" s="108" t="s">
        <v>58</v>
      </c>
      <c r="C513" s="107" t="s">
        <v>141</v>
      </c>
    </row>
    <row r="514" spans="1:3" ht="15.75">
      <c r="A514" s="110">
        <v>1</v>
      </c>
      <c r="B514" s="111" t="s">
        <v>42</v>
      </c>
      <c r="C514" s="112">
        <f>VLOOKUP($E$19,'Анализ стоимости'!$A$4:$DF$38,11,0)</f>
        <v>0</v>
      </c>
    </row>
    <row r="515" spans="1:3" ht="15.75">
      <c r="A515" s="113">
        <v>2</v>
      </c>
      <c r="B515" s="114" t="s">
        <v>65</v>
      </c>
      <c r="C515" s="115">
        <f>VLOOKUP($E$19,'Анализ стоимости'!$A$4:$DF$38,12,0)</f>
        <v>0</v>
      </c>
    </row>
    <row r="516" spans="1:3" ht="31.5">
      <c r="A516" s="113">
        <v>3</v>
      </c>
      <c r="B516" s="114" t="s">
        <v>75</v>
      </c>
      <c r="C516" s="115">
        <f>VLOOKUP($E$19,'Анализ стоимости'!$A$4:$DF$38,13,0)</f>
        <v>0</v>
      </c>
    </row>
    <row r="517" spans="1:3" ht="15.75">
      <c r="A517" s="113">
        <v>4</v>
      </c>
      <c r="B517" s="114" t="s">
        <v>66</v>
      </c>
      <c r="C517" s="115">
        <f>VLOOKUP($E$19,'Анализ стоимости'!$A$4:$DF$38,14,0)</f>
        <v>0</v>
      </c>
    </row>
    <row r="518" spans="1:3" ht="15.75">
      <c r="A518" s="113">
        <v>5</v>
      </c>
      <c r="B518" s="114" t="s">
        <v>76</v>
      </c>
      <c r="C518" s="115">
        <f>VLOOKUP($E$19,'Анализ стоимости'!$A$4:$DF$38,15,0)</f>
        <v>0</v>
      </c>
    </row>
    <row r="519" spans="1:3" ht="15.75">
      <c r="A519" s="113">
        <v>6</v>
      </c>
      <c r="B519" s="114" t="s">
        <v>33</v>
      </c>
      <c r="C519" s="115">
        <f>VLOOKUP($E$19,'Анализ стоимости'!$A$4:$DF$38,19,0)</f>
        <v>0</v>
      </c>
    </row>
    <row r="520" spans="1:3" ht="15.75">
      <c r="A520" s="113">
        <v>7</v>
      </c>
      <c r="B520" s="114" t="s">
        <v>51</v>
      </c>
      <c r="C520" s="115">
        <f>VLOOKUP($E$19,'Анализ стоимости'!$A$4:$DF$38,20,0)+VLOOKUP($E$19,'Анализ стоимости'!$A$4:$DF$38,22,0)+VLOOKUP($E$19,'Анализ стоимости'!$A$4:$DF$38,23,0)+VLOOKUP($E$19,'Анализ стоимости'!$A$4:$DF$38,24,0)+VLOOKUP($E$19,'Анализ стоимости'!$A$4:$DF$38,25,0)+VLOOKUP($E$19,'Анализ стоимости'!$A$4:$DF$38,26,0)+VLOOKUP($E$19,'Анализ стоимости'!$A$4:$DF$38,27,0)+VLOOKUP($E$19,'Анализ стоимости'!$A$4:$DF$38,28,0)+VLOOKUP($E$19,'Анализ стоимости'!$A$4:$DF$38,33,0)</f>
        <v>0</v>
      </c>
    </row>
    <row r="521" spans="1:9" ht="16.5" thickBot="1">
      <c r="A521" s="116"/>
      <c r="B521" s="117" t="s">
        <v>69</v>
      </c>
      <c r="C521" s="118">
        <f>SUM(C514:C520)</f>
        <v>0</v>
      </c>
      <c r="H521" s="109"/>
      <c r="I521" s="109"/>
    </row>
    <row r="522" spans="1:3" ht="16.5" thickBot="1">
      <c r="A522" s="201" t="s">
        <v>59</v>
      </c>
      <c r="B522" s="202"/>
      <c r="C522" s="203"/>
    </row>
    <row r="523" spans="1:3" ht="26.25" thickBot="1">
      <c r="A523" s="119" t="s">
        <v>28</v>
      </c>
      <c r="B523" s="108" t="s">
        <v>38</v>
      </c>
      <c r="C523" s="107" t="s">
        <v>60</v>
      </c>
    </row>
    <row r="524" spans="1:3" ht="15.75">
      <c r="A524" s="120"/>
      <c r="B524" s="121" t="s">
        <v>111</v>
      </c>
      <c r="C524" s="122"/>
    </row>
    <row r="525" spans="1:3" ht="15.75">
      <c r="A525" s="120"/>
      <c r="B525" s="114" t="s">
        <v>39</v>
      </c>
      <c r="C525" s="123">
        <f>IF(VLOOKUP($E$19,'Анализ стоимости'!$A$4:$DF$38,65,0)=0,0,DATE(2012,VLOOKUP($E$19,'Анализ стоимости'!$A$4:$DF$38,65,0),15))</f>
        <v>40923</v>
      </c>
    </row>
    <row r="526" spans="1:3" ht="15.75">
      <c r="A526" s="120"/>
      <c r="B526" s="114" t="s">
        <v>31</v>
      </c>
      <c r="C526" s="123">
        <f>IF(C525=0,0,DATE(2012,VLOOKUP($E$19,'Анализ стоимости'!$A$4:$DF$38,66,0),15))</f>
        <v>41258</v>
      </c>
    </row>
    <row r="527" spans="1:3" ht="25.5">
      <c r="A527" s="120"/>
      <c r="B527" s="124" t="s">
        <v>104</v>
      </c>
      <c r="C527" s="125">
        <f>IF(C525=0,0,VLOOKUP($E$19,'Анализ стоимости'!$A$4:$DF$38,71,0)+1)</f>
        <v>1.0725</v>
      </c>
    </row>
    <row r="528" spans="1:3" ht="15.75">
      <c r="A528" s="120"/>
      <c r="B528" s="134" t="s">
        <v>112</v>
      </c>
      <c r="C528" s="127">
        <f>VLOOKUP($E$19,'Анализ стоимости'!$A$4:$DF$38,43,0)</f>
        <v>0</v>
      </c>
    </row>
    <row r="529" spans="1:3" ht="15.75">
      <c r="A529" s="120"/>
      <c r="B529" s="114" t="s">
        <v>32</v>
      </c>
      <c r="C529" s="115">
        <f>VLOOKUP($E$19,'Анализ стоимости'!$A$4:$DF$38,48,0)</f>
        <v>0</v>
      </c>
    </row>
    <row r="530" spans="1:5" ht="15.75">
      <c r="A530" s="120"/>
      <c r="B530" s="114" t="s">
        <v>82</v>
      </c>
      <c r="C530" s="115">
        <f>VLOOKUP($E$19,'Анализ стоимости'!$A$4:$DF$38,53,0)</f>
        <v>0</v>
      </c>
      <c r="E530" s="140">
        <f>VLOOKUP($E$19,'Анализ стоимости'!$A$4:$DF$38,73,0)</f>
        <v>0</v>
      </c>
    </row>
    <row r="531" spans="1:5" ht="16.5" thickBot="1">
      <c r="A531" s="128"/>
      <c r="B531" s="129" t="s">
        <v>140</v>
      </c>
      <c r="C531" s="130">
        <f>SUM(C528:C530)</f>
        <v>0</v>
      </c>
      <c r="E531" s="140">
        <f>VLOOKUP($E$19,'Анализ стоимости'!$A$4:$DF$38,64)</f>
        <v>0</v>
      </c>
    </row>
    <row r="532" spans="1:3" ht="15.75" hidden="1" outlineLevel="1">
      <c r="A532" s="131"/>
      <c r="B532" s="132" t="s">
        <v>136</v>
      </c>
      <c r="C532" s="133"/>
    </row>
    <row r="533" spans="1:3" ht="15.75" hidden="1" outlineLevel="1">
      <c r="A533" s="120"/>
      <c r="B533" s="114" t="s">
        <v>39</v>
      </c>
      <c r="C533" s="123">
        <f>IF(VLOOKUP($E$19,'Анализ стоимости'!$A$4:$DF$38,7,0)="да",IF(VLOOKUP($E$19,'Анализ стоимости'!$A$4:$DF$38,67,0)=0,0,DATE(2013,VLOOKUP($E$19,'Анализ стоимости'!$A$4:$DF$38,67,0),15)),0)</f>
        <v>0</v>
      </c>
    </row>
    <row r="534" spans="1:3" ht="15.75" hidden="1" outlineLevel="1">
      <c r="A534" s="120"/>
      <c r="B534" s="114" t="s">
        <v>31</v>
      </c>
      <c r="C534" s="123">
        <f>IF(C533=0,0,DATE(2013,VLOOKUP($E$19,'Анализ стоимости'!$A$4:$DF$38,68,0),15))</f>
        <v>0</v>
      </c>
    </row>
    <row r="535" spans="1:3" ht="25.5" hidden="1" outlineLevel="1">
      <c r="A535" s="120"/>
      <c r="B535" s="124" t="s">
        <v>104</v>
      </c>
      <c r="C535" s="125">
        <f>IF(C533=0,0,VLOOKUP($E$19,'Анализ стоимости'!$A$4:$DF$38,72,0)+1)</f>
        <v>0</v>
      </c>
    </row>
    <row r="536" spans="1:3" ht="15.75" hidden="1" outlineLevel="1">
      <c r="A536" s="120"/>
      <c r="B536" s="134" t="s">
        <v>137</v>
      </c>
      <c r="C536" s="115">
        <f>C521-C528</f>
        <v>0</v>
      </c>
    </row>
    <row r="537" spans="1:3" ht="15.75" hidden="1" outlineLevel="1">
      <c r="A537" s="120"/>
      <c r="B537" s="114" t="s">
        <v>32</v>
      </c>
      <c r="C537" s="115">
        <f>VLOOKUP($E$19,'Анализ стоимости'!$A$4:$DF$38,58,0)</f>
        <v>0</v>
      </c>
    </row>
    <row r="538" spans="1:3" ht="15.75" hidden="1" outlineLevel="1">
      <c r="A538" s="120"/>
      <c r="B538" s="114" t="s">
        <v>82</v>
      </c>
      <c r="C538" s="115">
        <f>VLOOKUP($E$19,'Анализ стоимости'!$A$4:$DF$38,63,0)</f>
        <v>0</v>
      </c>
    </row>
    <row r="539" spans="1:3" ht="16.5" hidden="1" outlineLevel="1" thickBot="1">
      <c r="A539" s="128"/>
      <c r="B539" s="129" t="s">
        <v>138</v>
      </c>
      <c r="C539" s="130">
        <f>SUM(C536:C538)</f>
        <v>0</v>
      </c>
    </row>
    <row r="540" spans="1:5" ht="16.5" hidden="1" outlineLevel="1" collapsed="1" thickBot="1">
      <c r="A540" s="135"/>
      <c r="B540" s="136" t="s">
        <v>70</v>
      </c>
      <c r="C540" s="151">
        <f>ROUND(C531+C539,0)</f>
        <v>0</v>
      </c>
      <c r="E540" s="152">
        <f>IF(E$19=0,0,C540)</f>
        <v>0</v>
      </c>
    </row>
    <row r="541" spans="1:3" ht="15.75" collapsed="1">
      <c r="A541" s="137"/>
      <c r="B541" s="138"/>
      <c r="C541" s="139"/>
    </row>
    <row r="542" spans="1:3" ht="15.75">
      <c r="A542" s="137"/>
      <c r="B542" s="138"/>
      <c r="C542" s="139"/>
    </row>
    <row r="543" spans="1:7" ht="31.5">
      <c r="A543" s="204" t="str">
        <f>'Анализ стоимости'!$I$37</f>
        <v>Глава Сергиевского сельского поселения Кореновского района</v>
      </c>
      <c r="B543" s="205"/>
      <c r="C543" s="141" t="str">
        <f>CONCATENATE("_____________________ ",'Анализ стоимости'!$I$38)</f>
        <v>_____________________ С.А. Басеев </v>
      </c>
      <c r="G543" s="164" t="str">
        <f>A543</f>
        <v>Глава Сергиевского сельского поселения Кореновского района</v>
      </c>
    </row>
    <row r="544" spans="1:7" s="153" customFormat="1" ht="15.75">
      <c r="A544" s="96"/>
      <c r="B544" s="144"/>
      <c r="C544" s="96"/>
      <c r="F544" s="154"/>
      <c r="G544" s="165"/>
    </row>
    <row r="545" spans="1:7" s="153" customFormat="1" ht="15.75">
      <c r="A545" s="196"/>
      <c r="B545" s="196"/>
      <c r="C545" s="94"/>
      <c r="F545" s="154"/>
      <c r="G545" s="165"/>
    </row>
    <row r="546" spans="1:3" ht="15.75">
      <c r="A546" s="196"/>
      <c r="B546" s="196"/>
      <c r="C546" s="94"/>
    </row>
    <row r="547" spans="1:3" ht="18.75">
      <c r="A547" s="207" t="s">
        <v>35</v>
      </c>
      <c r="B547" s="207"/>
      <c r="C547" s="207"/>
    </row>
    <row r="548" spans="1:6" ht="63">
      <c r="A548" s="206" t="str">
        <f>F548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548" s="206"/>
      <c r="C548" s="206"/>
      <c r="F54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549" spans="1:6" ht="15.75">
      <c r="A549" s="206" t="str">
        <f>F549</f>
        <v>Наименование объекта: </v>
      </c>
      <c r="B549" s="206"/>
      <c r="C549" s="206"/>
      <c r="F549" s="146" t="str">
        <f>CONCATENATE("Наименование объекта: ",VLOOKUP($E$20,'Анализ стоимости'!$A$4:$DF$38,9,0))</f>
        <v>Наименование объекта: </v>
      </c>
    </row>
    <row r="550" spans="1:5" ht="15.75">
      <c r="A550" s="196" t="s">
        <v>53</v>
      </c>
      <c r="B550" s="196"/>
      <c r="C550" s="196"/>
      <c r="E550" s="147"/>
    </row>
    <row r="551" spans="1:3" ht="15.75">
      <c r="A551" s="197" t="s">
        <v>109</v>
      </c>
      <c r="B551" s="197"/>
      <c r="C551" s="197"/>
    </row>
    <row r="552" spans="1:3" ht="15.75">
      <c r="A552" s="197" t="str">
        <f>CONCATENATE("учетом сроков строительства и НДС: ",FIXED(C582,0)," руб.")</f>
        <v>учетом сроков строительства и НДС: 0 руб.</v>
      </c>
      <c r="B552" s="197"/>
      <c r="C552" s="97"/>
    </row>
    <row r="553" spans="1:7" s="104" customFormat="1" ht="7.5" thickBot="1">
      <c r="A553" s="148"/>
      <c r="B553" s="149"/>
      <c r="C553" s="148"/>
      <c r="F553" s="150"/>
      <c r="G553" s="162"/>
    </row>
    <row r="554" spans="1:3" ht="17.25" thickBot="1" thickTop="1">
      <c r="A554" s="198" t="s">
        <v>54</v>
      </c>
      <c r="B554" s="199"/>
      <c r="C554" s="200"/>
    </row>
    <row r="555" spans="1:3" ht="39" thickBot="1">
      <c r="A555" s="107" t="s">
        <v>28</v>
      </c>
      <c r="B555" s="108" t="s">
        <v>58</v>
      </c>
      <c r="C555" s="107" t="s">
        <v>141</v>
      </c>
    </row>
    <row r="556" spans="1:3" ht="15.75">
      <c r="A556" s="110">
        <v>1</v>
      </c>
      <c r="B556" s="111" t="s">
        <v>42</v>
      </c>
      <c r="C556" s="112">
        <f>VLOOKUP($E$20,'Анализ стоимости'!$A$4:$DF$38,11,0)</f>
        <v>0</v>
      </c>
    </row>
    <row r="557" spans="1:3" ht="15.75">
      <c r="A557" s="113">
        <v>2</v>
      </c>
      <c r="B557" s="114" t="s">
        <v>65</v>
      </c>
      <c r="C557" s="115">
        <f>VLOOKUP($E$20,'Анализ стоимости'!$A$4:$DF$38,12,0)</f>
        <v>0</v>
      </c>
    </row>
    <row r="558" spans="1:3" ht="31.5">
      <c r="A558" s="113">
        <v>3</v>
      </c>
      <c r="B558" s="114" t="s">
        <v>75</v>
      </c>
      <c r="C558" s="115">
        <f>VLOOKUP($E$20,'Анализ стоимости'!$A$4:$DF$38,13,0)</f>
        <v>0</v>
      </c>
    </row>
    <row r="559" spans="1:3" ht="15.75">
      <c r="A559" s="113">
        <v>4</v>
      </c>
      <c r="B559" s="114" t="s">
        <v>66</v>
      </c>
      <c r="C559" s="115">
        <f>VLOOKUP($E$20,'Анализ стоимости'!$A$4:$DF$38,14,0)</f>
        <v>0</v>
      </c>
    </row>
    <row r="560" spans="1:3" ht="15.75">
      <c r="A560" s="113">
        <v>5</v>
      </c>
      <c r="B560" s="114" t="s">
        <v>76</v>
      </c>
      <c r="C560" s="115">
        <f>VLOOKUP($E$20,'Анализ стоимости'!$A$4:$DF$38,15,0)</f>
        <v>0</v>
      </c>
    </row>
    <row r="561" spans="1:3" ht="15.75">
      <c r="A561" s="113">
        <v>6</v>
      </c>
      <c r="B561" s="114" t="s">
        <v>33</v>
      </c>
      <c r="C561" s="115">
        <f>VLOOKUP($E$20,'Анализ стоимости'!$A$4:$DF$38,19,0)</f>
        <v>0</v>
      </c>
    </row>
    <row r="562" spans="1:3" ht="15.75">
      <c r="A562" s="113">
        <v>7</v>
      </c>
      <c r="B562" s="114" t="s">
        <v>51</v>
      </c>
      <c r="C562" s="115">
        <f>VLOOKUP($E$20,'Анализ стоимости'!$A$4:$DF$38,20,0)+VLOOKUP($E$20,'Анализ стоимости'!$A$4:$DF$38,22,0)+VLOOKUP($E$20,'Анализ стоимости'!$A$4:$DF$38,23,0)+VLOOKUP($E$20,'Анализ стоимости'!$A$4:$DF$38,24,0)+VLOOKUP($E$20,'Анализ стоимости'!$A$4:$DF$38,25,0)+VLOOKUP($E$20,'Анализ стоимости'!$A$4:$DF$38,26,0)+VLOOKUP($E$20,'Анализ стоимости'!$A$4:$DF$38,27,0)+VLOOKUP($E$20,'Анализ стоимости'!$A$4:$DF$38,28,0)+VLOOKUP($E$20,'Анализ стоимости'!$A$4:$DF$38,33,0)</f>
        <v>0</v>
      </c>
    </row>
    <row r="563" spans="1:9" ht="16.5" thickBot="1">
      <c r="A563" s="116"/>
      <c r="B563" s="117" t="s">
        <v>69</v>
      </c>
      <c r="C563" s="118">
        <f>SUM(C556:C562)</f>
        <v>0</v>
      </c>
      <c r="H563" s="109"/>
      <c r="I563" s="109"/>
    </row>
    <row r="564" spans="1:3" ht="16.5" thickBot="1">
      <c r="A564" s="201" t="s">
        <v>59</v>
      </c>
      <c r="B564" s="202"/>
      <c r="C564" s="203"/>
    </row>
    <row r="565" spans="1:3" ht="26.25" thickBot="1">
      <c r="A565" s="119" t="s">
        <v>28</v>
      </c>
      <c r="B565" s="108" t="s">
        <v>38</v>
      </c>
      <c r="C565" s="107" t="s">
        <v>60</v>
      </c>
    </row>
    <row r="566" spans="1:3" ht="15.75">
      <c r="A566" s="120"/>
      <c r="B566" s="121" t="s">
        <v>111</v>
      </c>
      <c r="C566" s="122"/>
    </row>
    <row r="567" spans="1:3" ht="15.75">
      <c r="A567" s="120"/>
      <c r="B567" s="114" t="s">
        <v>39</v>
      </c>
      <c r="C567" s="123">
        <f>IF(VLOOKUP($E$20,'Анализ стоимости'!$A$4:$DF$38,65,0)=0,0,DATE(2012,VLOOKUP($E$20,'Анализ стоимости'!$A$4:$DF$38,65,0),15))</f>
        <v>40923</v>
      </c>
    </row>
    <row r="568" spans="1:3" ht="15.75">
      <c r="A568" s="120"/>
      <c r="B568" s="114" t="s">
        <v>31</v>
      </c>
      <c r="C568" s="123">
        <f>IF(C567=0,0,DATE(2012,VLOOKUP($E$20,'Анализ стоимости'!$A$4:$DF$38,66,0),15))</f>
        <v>41258</v>
      </c>
    </row>
    <row r="569" spans="1:3" ht="25.5">
      <c r="A569" s="120"/>
      <c r="B569" s="124" t="s">
        <v>104</v>
      </c>
      <c r="C569" s="125">
        <f>IF(C567=0,0,VLOOKUP($E$20,'Анализ стоимости'!$A$4:$DF$38,71,0)+1)</f>
        <v>1.0725</v>
      </c>
    </row>
    <row r="570" spans="1:3" ht="15.75">
      <c r="A570" s="120"/>
      <c r="B570" s="134" t="s">
        <v>112</v>
      </c>
      <c r="C570" s="127">
        <f>VLOOKUP($E$20,'Анализ стоимости'!$A$4:$DF$38,43,0)</f>
        <v>0</v>
      </c>
    </row>
    <row r="571" spans="1:3" ht="15.75">
      <c r="A571" s="120"/>
      <c r="B571" s="114" t="s">
        <v>32</v>
      </c>
      <c r="C571" s="115">
        <f>VLOOKUP($E$20,'Анализ стоимости'!$A$4:$DF$38,48,0)</f>
        <v>0</v>
      </c>
    </row>
    <row r="572" spans="1:5" ht="15.75">
      <c r="A572" s="120"/>
      <c r="B572" s="114" t="s">
        <v>82</v>
      </c>
      <c r="C572" s="115">
        <f>VLOOKUP($E$20,'Анализ стоимости'!$A$4:$DF$38,53,0)</f>
        <v>0</v>
      </c>
      <c r="E572" s="140">
        <f>VLOOKUP($E$20,'Анализ стоимости'!$A$4:$DF$38,73,0)</f>
        <v>0</v>
      </c>
    </row>
    <row r="573" spans="1:5" ht="16.5" thickBot="1">
      <c r="A573" s="128"/>
      <c r="B573" s="129" t="s">
        <v>140</v>
      </c>
      <c r="C573" s="130">
        <f>SUM(C570:C572)</f>
        <v>0</v>
      </c>
      <c r="E573" s="140">
        <f>VLOOKUP($E$20,'Анализ стоимости'!$A$4:$DF$38,64)</f>
        <v>0</v>
      </c>
    </row>
    <row r="574" spans="1:3" ht="15.75" hidden="1" outlineLevel="1">
      <c r="A574" s="131"/>
      <c r="B574" s="132" t="s">
        <v>136</v>
      </c>
      <c r="C574" s="133"/>
    </row>
    <row r="575" spans="1:3" ht="15.75" hidden="1" outlineLevel="1">
      <c r="A575" s="120"/>
      <c r="B575" s="114" t="s">
        <v>39</v>
      </c>
      <c r="C575" s="123">
        <f>IF(VLOOKUP($E$20,'Анализ стоимости'!$A$4:$DF$38,7,0)="да",IF(VLOOKUP($E$20,'Анализ стоимости'!$A$4:$DF$38,67,0)=0,0,DATE(2013,VLOOKUP($E$20,'Анализ стоимости'!$A$4:$DF$38,67,0),15)),0)</f>
        <v>0</v>
      </c>
    </row>
    <row r="576" spans="1:3" ht="15.75" hidden="1" outlineLevel="1">
      <c r="A576" s="120"/>
      <c r="B576" s="114" t="s">
        <v>31</v>
      </c>
      <c r="C576" s="123">
        <f>IF(C575=0,0,DATE(2013,VLOOKUP($E$20,'Анализ стоимости'!$A$4:$DF$38,68,0),15))</f>
        <v>0</v>
      </c>
    </row>
    <row r="577" spans="1:3" ht="25.5" hidden="1" outlineLevel="1">
      <c r="A577" s="120"/>
      <c r="B577" s="124" t="s">
        <v>104</v>
      </c>
      <c r="C577" s="125">
        <f>IF(C575=0,0,VLOOKUP($E$20,'Анализ стоимости'!$A$4:$DF$38,72,0)+1)</f>
        <v>0</v>
      </c>
    </row>
    <row r="578" spans="1:3" ht="15.75" hidden="1" outlineLevel="1">
      <c r="A578" s="120"/>
      <c r="B578" s="134" t="s">
        <v>137</v>
      </c>
      <c r="C578" s="115">
        <f>C563-C570</f>
        <v>0</v>
      </c>
    </row>
    <row r="579" spans="1:3" ht="15.75" hidden="1" outlineLevel="1">
      <c r="A579" s="120"/>
      <c r="B579" s="114" t="s">
        <v>32</v>
      </c>
      <c r="C579" s="115">
        <f>VLOOKUP($E$20,'Анализ стоимости'!$A$4:$DF$38,58,0)</f>
        <v>0</v>
      </c>
    </row>
    <row r="580" spans="1:3" ht="15.75" hidden="1" outlineLevel="1">
      <c r="A580" s="120"/>
      <c r="B580" s="114" t="s">
        <v>82</v>
      </c>
      <c r="C580" s="115">
        <f>VLOOKUP($E$20,'Анализ стоимости'!$A$4:$DF$38,63,0)</f>
        <v>0</v>
      </c>
    </row>
    <row r="581" spans="1:3" ht="16.5" hidden="1" outlineLevel="1" thickBot="1">
      <c r="A581" s="128"/>
      <c r="B581" s="129" t="s">
        <v>138</v>
      </c>
      <c r="C581" s="130">
        <f>SUM(C578:C580)</f>
        <v>0</v>
      </c>
    </row>
    <row r="582" spans="1:5" ht="16.5" hidden="1" outlineLevel="1" collapsed="1" thickBot="1">
      <c r="A582" s="135"/>
      <c r="B582" s="136" t="s">
        <v>70</v>
      </c>
      <c r="C582" s="151">
        <f>ROUND(C573+C581,0)</f>
        <v>0</v>
      </c>
      <c r="E582" s="152">
        <f>IF(E$20=0,0,C582)</f>
        <v>0</v>
      </c>
    </row>
    <row r="583" spans="1:3" ht="15.75" collapsed="1">
      <c r="A583" s="137"/>
      <c r="B583" s="138"/>
      <c r="C583" s="139"/>
    </row>
    <row r="584" spans="1:3" ht="15.75">
      <c r="A584" s="137"/>
      <c r="B584" s="138"/>
      <c r="C584" s="139"/>
    </row>
    <row r="585" spans="1:7" ht="31.5">
      <c r="A585" s="204" t="str">
        <f>'Анализ стоимости'!$I$37</f>
        <v>Глава Сергиевского сельского поселения Кореновского района</v>
      </c>
      <c r="B585" s="205"/>
      <c r="C585" s="141" t="str">
        <f>CONCATENATE("_____________________ ",'Анализ стоимости'!$I$38)</f>
        <v>_____________________ С.А. Басеев </v>
      </c>
      <c r="G585" s="164" t="str">
        <f>A585</f>
        <v>Глава Сергиевского сельского поселения Кореновского района</v>
      </c>
    </row>
    <row r="586" spans="1:7" s="153" customFormat="1" ht="15.75">
      <c r="A586" s="96"/>
      <c r="B586" s="144"/>
      <c r="C586" s="96"/>
      <c r="F586" s="154"/>
      <c r="G586" s="165"/>
    </row>
    <row r="587" spans="1:7" s="153" customFormat="1" ht="15.75">
      <c r="A587" s="196"/>
      <c r="B587" s="196"/>
      <c r="C587" s="94"/>
      <c r="F587" s="154"/>
      <c r="G587" s="165"/>
    </row>
    <row r="588" spans="1:3" ht="15.75">
      <c r="A588" s="196"/>
      <c r="B588" s="196"/>
      <c r="C588" s="94"/>
    </row>
    <row r="589" spans="1:3" ht="18.75">
      <c r="A589" s="207" t="s">
        <v>35</v>
      </c>
      <c r="B589" s="207"/>
      <c r="C589" s="207"/>
    </row>
    <row r="590" spans="1:6" ht="63">
      <c r="A590" s="206" t="str">
        <f>F590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590" s="206"/>
      <c r="C590" s="206"/>
      <c r="F59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591" spans="1:6" ht="15.75">
      <c r="A591" s="206" t="str">
        <f>F591</f>
        <v>Наименование объекта: </v>
      </c>
      <c r="B591" s="206"/>
      <c r="C591" s="206"/>
      <c r="F591" s="146" t="str">
        <f>CONCATENATE("Наименование объекта: ",VLOOKUP($E$21,'Анализ стоимости'!$A$4:$DF$38,9,0))</f>
        <v>Наименование объекта: </v>
      </c>
    </row>
    <row r="592" spans="1:5" ht="15.75">
      <c r="A592" s="196" t="s">
        <v>53</v>
      </c>
      <c r="B592" s="196"/>
      <c r="C592" s="196"/>
      <c r="E592" s="147"/>
    </row>
    <row r="593" spans="1:3" ht="15.75">
      <c r="A593" s="197" t="s">
        <v>109</v>
      </c>
      <c r="B593" s="197"/>
      <c r="C593" s="197"/>
    </row>
    <row r="594" spans="1:3" ht="15.75">
      <c r="A594" s="197" t="str">
        <f>CONCATENATE("учетом сроков строительства и НДС: ",FIXED(C624,0)," руб.")</f>
        <v>учетом сроков строительства и НДС: 0 руб.</v>
      </c>
      <c r="B594" s="197"/>
      <c r="C594" s="97"/>
    </row>
    <row r="595" spans="1:7" s="104" customFormat="1" ht="7.5" thickBot="1">
      <c r="A595" s="148"/>
      <c r="B595" s="149"/>
      <c r="C595" s="148"/>
      <c r="F595" s="150"/>
      <c r="G595" s="162"/>
    </row>
    <row r="596" spans="1:3" ht="17.25" thickBot="1" thickTop="1">
      <c r="A596" s="198" t="s">
        <v>54</v>
      </c>
      <c r="B596" s="199"/>
      <c r="C596" s="200"/>
    </row>
    <row r="597" spans="1:3" ht="39" thickBot="1">
      <c r="A597" s="107" t="s">
        <v>28</v>
      </c>
      <c r="B597" s="108" t="s">
        <v>58</v>
      </c>
      <c r="C597" s="107" t="s">
        <v>141</v>
      </c>
    </row>
    <row r="598" spans="1:3" ht="15.75">
      <c r="A598" s="110">
        <v>1</v>
      </c>
      <c r="B598" s="111" t="s">
        <v>42</v>
      </c>
      <c r="C598" s="112">
        <f>VLOOKUP($E$21,'Анализ стоимости'!$A$4:$DF$38,11,0)</f>
        <v>0</v>
      </c>
    </row>
    <row r="599" spans="1:3" ht="15.75">
      <c r="A599" s="113">
        <v>2</v>
      </c>
      <c r="B599" s="114" t="s">
        <v>65</v>
      </c>
      <c r="C599" s="115">
        <f>VLOOKUP($E$21,'Анализ стоимости'!$A$4:$DF$38,12,0)</f>
        <v>0</v>
      </c>
    </row>
    <row r="600" spans="1:3" ht="31.5">
      <c r="A600" s="113">
        <v>3</v>
      </c>
      <c r="B600" s="114" t="s">
        <v>75</v>
      </c>
      <c r="C600" s="115">
        <f>VLOOKUP($E$21,'Анализ стоимости'!$A$4:$DF$38,13,0)</f>
        <v>0</v>
      </c>
    </row>
    <row r="601" spans="1:3" ht="15.75">
      <c r="A601" s="113">
        <v>4</v>
      </c>
      <c r="B601" s="114" t="s">
        <v>66</v>
      </c>
      <c r="C601" s="115">
        <f>VLOOKUP($E$21,'Анализ стоимости'!$A$4:$DF$38,14,0)</f>
        <v>0</v>
      </c>
    </row>
    <row r="602" spans="1:3" ht="15.75">
      <c r="A602" s="113">
        <v>5</v>
      </c>
      <c r="B602" s="114" t="s">
        <v>76</v>
      </c>
      <c r="C602" s="115">
        <f>VLOOKUP($E$21,'Анализ стоимости'!$A$4:$DF$38,15,0)</f>
        <v>0</v>
      </c>
    </row>
    <row r="603" spans="1:3" ht="15.75">
      <c r="A603" s="113">
        <v>6</v>
      </c>
      <c r="B603" s="114" t="s">
        <v>33</v>
      </c>
      <c r="C603" s="115">
        <f>VLOOKUP($E$21,'Анализ стоимости'!$A$4:$DF$38,19,0)</f>
        <v>0</v>
      </c>
    </row>
    <row r="604" spans="1:3" ht="15.75">
      <c r="A604" s="113">
        <v>7</v>
      </c>
      <c r="B604" s="114" t="s">
        <v>51</v>
      </c>
      <c r="C604" s="115">
        <f>VLOOKUP($E$21,'Анализ стоимости'!$A$4:$DF$38,20,0)+VLOOKUP($E$21,'Анализ стоимости'!$A$4:$DF$38,22,0)+VLOOKUP($E$21,'Анализ стоимости'!$A$4:$DF$38,23,0)+VLOOKUP($E$21,'Анализ стоимости'!$A$4:$DF$38,24,0)+VLOOKUP($E$21,'Анализ стоимости'!$A$4:$DF$38,25,0)+VLOOKUP($E$21,'Анализ стоимости'!$A$4:$DF$38,26,0)+VLOOKUP($E$21,'Анализ стоимости'!$A$4:$DF$38,27,0)+VLOOKUP($E$21,'Анализ стоимости'!$A$4:$DF$38,28,0)+VLOOKUP($E$21,'Анализ стоимости'!$A$4:$DF$38,33,0)</f>
        <v>0</v>
      </c>
    </row>
    <row r="605" spans="1:9" ht="16.5" thickBot="1">
      <c r="A605" s="116"/>
      <c r="B605" s="117" t="s">
        <v>69</v>
      </c>
      <c r="C605" s="118">
        <f>SUM(C598:C604)</f>
        <v>0</v>
      </c>
      <c r="H605" s="109"/>
      <c r="I605" s="109"/>
    </row>
    <row r="606" spans="1:3" ht="16.5" thickBot="1">
      <c r="A606" s="201" t="s">
        <v>59</v>
      </c>
      <c r="B606" s="202"/>
      <c r="C606" s="203"/>
    </row>
    <row r="607" spans="1:3" ht="26.25" thickBot="1">
      <c r="A607" s="119" t="s">
        <v>28</v>
      </c>
      <c r="B607" s="108" t="s">
        <v>38</v>
      </c>
      <c r="C607" s="107" t="s">
        <v>60</v>
      </c>
    </row>
    <row r="608" spans="1:3" ht="15.75">
      <c r="A608" s="120"/>
      <c r="B608" s="121" t="s">
        <v>111</v>
      </c>
      <c r="C608" s="122"/>
    </row>
    <row r="609" spans="1:3" ht="15.75">
      <c r="A609" s="120"/>
      <c r="B609" s="114" t="s">
        <v>39</v>
      </c>
      <c r="C609" s="123">
        <f>IF(VLOOKUP($E$21,'Анализ стоимости'!$A$4:$DF$38,65,0)=0,0,DATE(2012,VLOOKUP($E$21,'Анализ стоимости'!$A$4:$DF$38,65,0),15))</f>
        <v>40923</v>
      </c>
    </row>
    <row r="610" spans="1:3" ht="15.75">
      <c r="A610" s="120"/>
      <c r="B610" s="114" t="s">
        <v>31</v>
      </c>
      <c r="C610" s="123">
        <f>IF(C609=0,0,DATE(2012,VLOOKUP($E$21,'Анализ стоимости'!$A$4:$DF$38,66,0),15))</f>
        <v>41258</v>
      </c>
    </row>
    <row r="611" spans="1:3" ht="25.5">
      <c r="A611" s="120"/>
      <c r="B611" s="124" t="s">
        <v>104</v>
      </c>
      <c r="C611" s="125">
        <f>IF(C609=0,0,VLOOKUP($E$21,'Анализ стоимости'!$A$4:$DF$38,71,0)+1)</f>
        <v>1.0725</v>
      </c>
    </row>
    <row r="612" spans="1:3" ht="15.75">
      <c r="A612" s="120"/>
      <c r="B612" s="134" t="s">
        <v>112</v>
      </c>
      <c r="C612" s="127">
        <f>VLOOKUP($E$21,'Анализ стоимости'!$A$4:$DF$38,43,0)</f>
        <v>0</v>
      </c>
    </row>
    <row r="613" spans="1:3" ht="15.75">
      <c r="A613" s="120"/>
      <c r="B613" s="114" t="s">
        <v>32</v>
      </c>
      <c r="C613" s="115">
        <f>VLOOKUP($E$21,'Анализ стоимости'!$A$4:$DF$38,48,0)</f>
        <v>0</v>
      </c>
    </row>
    <row r="614" spans="1:5" ht="15.75">
      <c r="A614" s="120"/>
      <c r="B614" s="114" t="s">
        <v>82</v>
      </c>
      <c r="C614" s="115">
        <f>VLOOKUP($E$21,'Анализ стоимости'!$A$4:$DF$38,53,0)</f>
        <v>0</v>
      </c>
      <c r="E614" s="140">
        <f>VLOOKUP($E$21,'Анализ стоимости'!$A$4:$DF$38,73,0)</f>
        <v>0</v>
      </c>
    </row>
    <row r="615" spans="1:5" ht="16.5" thickBot="1">
      <c r="A615" s="128"/>
      <c r="B615" s="129" t="s">
        <v>140</v>
      </c>
      <c r="C615" s="130">
        <f>SUM(C612:C614)</f>
        <v>0</v>
      </c>
      <c r="E615" s="140">
        <f>VLOOKUP($E$21,'Анализ стоимости'!$A$4:$DF$38,64)</f>
        <v>0</v>
      </c>
    </row>
    <row r="616" spans="1:3" ht="15.75" hidden="1" outlineLevel="1">
      <c r="A616" s="131"/>
      <c r="B616" s="132" t="s">
        <v>136</v>
      </c>
      <c r="C616" s="133"/>
    </row>
    <row r="617" spans="1:3" ht="15.75" hidden="1" outlineLevel="1">
      <c r="A617" s="120"/>
      <c r="B617" s="114" t="s">
        <v>39</v>
      </c>
      <c r="C617" s="123">
        <f>IF(VLOOKUP($E$21,'Анализ стоимости'!$A$4:$DF$38,7,0)="да",IF(VLOOKUP($E$21,'Анализ стоимости'!$A$4:$DF$38,67,0)=0,0,DATE(2013,VLOOKUP($E$21,'Анализ стоимости'!$A$4:$DF$38,67,0),15)),0)</f>
        <v>0</v>
      </c>
    </row>
    <row r="618" spans="1:3" ht="15.75" hidden="1" outlineLevel="1">
      <c r="A618" s="120"/>
      <c r="B618" s="114" t="s">
        <v>31</v>
      </c>
      <c r="C618" s="123">
        <f>IF(C617=0,0,DATE(2013,VLOOKUP($E$21,'Анализ стоимости'!$A$4:$DF$38,68,0),15))</f>
        <v>0</v>
      </c>
    </row>
    <row r="619" spans="1:3" ht="25.5" hidden="1" outlineLevel="1">
      <c r="A619" s="120"/>
      <c r="B619" s="124" t="s">
        <v>104</v>
      </c>
      <c r="C619" s="125">
        <f>IF(C617=0,0,VLOOKUP($E$21,'Анализ стоимости'!$A$4:$DF$38,72,0)+1)</f>
        <v>0</v>
      </c>
    </row>
    <row r="620" spans="1:3" ht="15.75" hidden="1" outlineLevel="1">
      <c r="A620" s="120"/>
      <c r="B620" s="134" t="s">
        <v>137</v>
      </c>
      <c r="C620" s="115">
        <f>C605-C612</f>
        <v>0</v>
      </c>
    </row>
    <row r="621" spans="1:3" ht="15.75" hidden="1" outlineLevel="1">
      <c r="A621" s="120"/>
      <c r="B621" s="114" t="s">
        <v>32</v>
      </c>
      <c r="C621" s="115">
        <f>VLOOKUP($E$21,'Анализ стоимости'!$A$4:$DF$38,58,0)</f>
        <v>0</v>
      </c>
    </row>
    <row r="622" spans="1:3" ht="15.75" hidden="1" outlineLevel="1">
      <c r="A622" s="120"/>
      <c r="B622" s="114" t="s">
        <v>82</v>
      </c>
      <c r="C622" s="115">
        <f>VLOOKUP($E$21,'Анализ стоимости'!$A$4:$DF$38,63,0)</f>
        <v>0</v>
      </c>
    </row>
    <row r="623" spans="1:3" ht="16.5" hidden="1" outlineLevel="1" thickBot="1">
      <c r="A623" s="128"/>
      <c r="B623" s="129" t="s">
        <v>138</v>
      </c>
      <c r="C623" s="130">
        <f>SUM(C620:C622)</f>
        <v>0</v>
      </c>
    </row>
    <row r="624" spans="1:5" ht="16.5" hidden="1" outlineLevel="1" collapsed="1" thickBot="1">
      <c r="A624" s="135"/>
      <c r="B624" s="136" t="s">
        <v>70</v>
      </c>
      <c r="C624" s="151">
        <f>ROUND(C615+C623,0)</f>
        <v>0</v>
      </c>
      <c r="E624" s="152">
        <f>IF(E$21=0,0,C624)</f>
        <v>0</v>
      </c>
    </row>
    <row r="625" spans="1:3" ht="15.75" collapsed="1">
      <c r="A625" s="137"/>
      <c r="B625" s="138"/>
      <c r="C625" s="139"/>
    </row>
    <row r="626" spans="1:3" ht="15.75">
      <c r="A626" s="137"/>
      <c r="B626" s="138"/>
      <c r="C626" s="139"/>
    </row>
    <row r="627" spans="1:7" ht="31.5">
      <c r="A627" s="204" t="str">
        <f>'Анализ стоимости'!$I$37</f>
        <v>Глава Сергиевского сельского поселения Кореновского района</v>
      </c>
      <c r="B627" s="205"/>
      <c r="C627" s="141" t="str">
        <f>CONCATENATE("_____________________ ",'Анализ стоимости'!$I$38)</f>
        <v>_____________________ С.А. Басеев </v>
      </c>
      <c r="G627" s="164" t="str">
        <f>A627</f>
        <v>Глава Сергиевского сельского поселения Кореновского района</v>
      </c>
    </row>
    <row r="628" spans="1:7" s="153" customFormat="1" ht="15.75">
      <c r="A628" s="96"/>
      <c r="B628" s="144"/>
      <c r="C628" s="96"/>
      <c r="F628" s="154"/>
      <c r="G628" s="165"/>
    </row>
    <row r="629" spans="1:7" s="153" customFormat="1" ht="15.75">
      <c r="A629" s="196"/>
      <c r="B629" s="196"/>
      <c r="C629" s="94"/>
      <c r="F629" s="154"/>
      <c r="G629" s="165"/>
    </row>
    <row r="630" spans="1:3" ht="15.75">
      <c r="A630" s="196"/>
      <c r="B630" s="196"/>
      <c r="C630" s="94"/>
    </row>
    <row r="631" spans="1:3" ht="18.75">
      <c r="A631" s="207" t="s">
        <v>35</v>
      </c>
      <c r="B631" s="207"/>
      <c r="C631" s="207"/>
    </row>
    <row r="632" spans="1:6" ht="63">
      <c r="A632" s="206" t="str">
        <f>F632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632" s="206"/>
      <c r="C632" s="206"/>
      <c r="F63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633" spans="1:6" ht="15.75">
      <c r="A633" s="206" t="str">
        <f>F633</f>
        <v>Наименование объекта: </v>
      </c>
      <c r="B633" s="206"/>
      <c r="C633" s="206"/>
      <c r="F633" s="146" t="str">
        <f>CONCATENATE("Наименование объекта: ",VLOOKUP($E$22,'Анализ стоимости'!$A$4:$DF$38,9,0))</f>
        <v>Наименование объекта: </v>
      </c>
    </row>
    <row r="634" spans="1:5" ht="15.75">
      <c r="A634" s="196" t="s">
        <v>53</v>
      </c>
      <c r="B634" s="196"/>
      <c r="C634" s="196"/>
      <c r="E634" s="147"/>
    </row>
    <row r="635" spans="1:3" ht="15.75">
      <c r="A635" s="197" t="s">
        <v>109</v>
      </c>
      <c r="B635" s="197"/>
      <c r="C635" s="197"/>
    </row>
    <row r="636" spans="1:3" ht="15.75">
      <c r="A636" s="197" t="str">
        <f>CONCATENATE("учетом сроков строительства и НДС: ",FIXED(C666,0)," руб.")</f>
        <v>учетом сроков строительства и НДС: 0 руб.</v>
      </c>
      <c r="B636" s="197"/>
      <c r="C636" s="97"/>
    </row>
    <row r="637" spans="1:7" s="104" customFormat="1" ht="7.5" thickBot="1">
      <c r="A637" s="148"/>
      <c r="B637" s="149"/>
      <c r="C637" s="148"/>
      <c r="F637" s="150"/>
      <c r="G637" s="162"/>
    </row>
    <row r="638" spans="1:3" ht="17.25" thickBot="1" thickTop="1">
      <c r="A638" s="198" t="s">
        <v>54</v>
      </c>
      <c r="B638" s="199"/>
      <c r="C638" s="200"/>
    </row>
    <row r="639" spans="1:3" ht="39" thickBot="1">
      <c r="A639" s="107" t="s">
        <v>28</v>
      </c>
      <c r="B639" s="108" t="s">
        <v>58</v>
      </c>
      <c r="C639" s="107" t="s">
        <v>141</v>
      </c>
    </row>
    <row r="640" spans="1:3" ht="15.75">
      <c r="A640" s="110">
        <v>1</v>
      </c>
      <c r="B640" s="111" t="s">
        <v>42</v>
      </c>
      <c r="C640" s="112">
        <f>VLOOKUP($E$22,'Анализ стоимости'!$A$4:$DF$38,11,0)</f>
        <v>0</v>
      </c>
    </row>
    <row r="641" spans="1:3" ht="15.75">
      <c r="A641" s="113">
        <v>2</v>
      </c>
      <c r="B641" s="114" t="s">
        <v>65</v>
      </c>
      <c r="C641" s="115">
        <f>VLOOKUP($E$22,'Анализ стоимости'!$A$4:$DF$38,12,0)</f>
        <v>0</v>
      </c>
    </row>
    <row r="642" spans="1:3" ht="31.5">
      <c r="A642" s="113">
        <v>3</v>
      </c>
      <c r="B642" s="114" t="s">
        <v>75</v>
      </c>
      <c r="C642" s="115">
        <f>VLOOKUP($E$22,'Анализ стоимости'!$A$4:$DF$38,13,0)</f>
        <v>0</v>
      </c>
    </row>
    <row r="643" spans="1:3" ht="15.75">
      <c r="A643" s="113">
        <v>4</v>
      </c>
      <c r="B643" s="114" t="s">
        <v>66</v>
      </c>
      <c r="C643" s="115">
        <f>VLOOKUP($E$22,'Анализ стоимости'!$A$4:$DF$38,14,0)</f>
        <v>0</v>
      </c>
    </row>
    <row r="644" spans="1:3" ht="15.75">
      <c r="A644" s="113">
        <v>5</v>
      </c>
      <c r="B644" s="114" t="s">
        <v>76</v>
      </c>
      <c r="C644" s="115">
        <f>VLOOKUP($E$22,'Анализ стоимости'!$A$4:$DF$38,15,0)</f>
        <v>0</v>
      </c>
    </row>
    <row r="645" spans="1:3" ht="15.75">
      <c r="A645" s="113">
        <v>6</v>
      </c>
      <c r="B645" s="114" t="s">
        <v>33</v>
      </c>
      <c r="C645" s="115">
        <f>VLOOKUP($E$22,'Анализ стоимости'!$A$4:$DF$38,19,0)</f>
        <v>0</v>
      </c>
    </row>
    <row r="646" spans="1:3" ht="15.75">
      <c r="A646" s="113">
        <v>7</v>
      </c>
      <c r="B646" s="114" t="s">
        <v>51</v>
      </c>
      <c r="C646" s="115">
        <f>VLOOKUP($E$22,'Анализ стоимости'!$A$4:$DF$38,20,0)+VLOOKUP($E$22,'Анализ стоимости'!$A$4:$DF$38,22,0)+VLOOKUP($E$22,'Анализ стоимости'!$A$4:$DF$38,23,0)+VLOOKUP($E$22,'Анализ стоимости'!$A$4:$DF$38,24,0)+VLOOKUP($E$22,'Анализ стоимости'!$A$4:$DF$38,25,0)+VLOOKUP($E$22,'Анализ стоимости'!$A$4:$DF$38,26,0)+VLOOKUP($E$22,'Анализ стоимости'!$A$4:$DF$38,27,0)+VLOOKUP($E$22,'Анализ стоимости'!$A$4:$DF$38,28,0)+VLOOKUP($E$22,'Анализ стоимости'!$A$4:$DF$38,33,0)</f>
        <v>0</v>
      </c>
    </row>
    <row r="647" spans="1:9" ht="16.5" thickBot="1">
      <c r="A647" s="116"/>
      <c r="B647" s="117" t="s">
        <v>69</v>
      </c>
      <c r="C647" s="118">
        <f>SUM(C640:C646)</f>
        <v>0</v>
      </c>
      <c r="H647" s="109"/>
      <c r="I647" s="109"/>
    </row>
    <row r="648" spans="1:3" ht="16.5" thickBot="1">
      <c r="A648" s="201" t="s">
        <v>59</v>
      </c>
      <c r="B648" s="202"/>
      <c r="C648" s="203"/>
    </row>
    <row r="649" spans="1:3" ht="26.25" thickBot="1">
      <c r="A649" s="119" t="s">
        <v>28</v>
      </c>
      <c r="B649" s="108" t="s">
        <v>38</v>
      </c>
      <c r="C649" s="107" t="s">
        <v>60</v>
      </c>
    </row>
    <row r="650" spans="1:3" ht="15.75">
      <c r="A650" s="120"/>
      <c r="B650" s="121" t="s">
        <v>111</v>
      </c>
      <c r="C650" s="122"/>
    </row>
    <row r="651" spans="1:3" ht="15.75">
      <c r="A651" s="120"/>
      <c r="B651" s="114" t="s">
        <v>39</v>
      </c>
      <c r="C651" s="123">
        <f>IF(VLOOKUP($E$22,'Анализ стоимости'!$A$4:$DF$38,65,0)=0,0,DATE(2012,VLOOKUP($E$22,'Анализ стоимости'!$A$4:$DF$38,65,0),15))</f>
        <v>40923</v>
      </c>
    </row>
    <row r="652" spans="1:3" ht="15.75">
      <c r="A652" s="120"/>
      <c r="B652" s="114" t="s">
        <v>31</v>
      </c>
      <c r="C652" s="123">
        <f>IF(C651=0,0,DATE(2012,VLOOKUP($E$22,'Анализ стоимости'!$A$4:$DF$38,66,0),15))</f>
        <v>41258</v>
      </c>
    </row>
    <row r="653" spans="1:3" ht="25.5">
      <c r="A653" s="120"/>
      <c r="B653" s="124" t="s">
        <v>104</v>
      </c>
      <c r="C653" s="125">
        <f>IF(C651=0,0,VLOOKUP($E$22,'Анализ стоимости'!$A$4:$DF$38,71,0)+1)</f>
        <v>1.0725</v>
      </c>
    </row>
    <row r="654" spans="1:3" ht="15.75">
      <c r="A654" s="120"/>
      <c r="B654" s="134" t="s">
        <v>112</v>
      </c>
      <c r="C654" s="127">
        <f>VLOOKUP($E$22,'Анализ стоимости'!$A$4:$DF$38,43,0)</f>
        <v>0</v>
      </c>
    </row>
    <row r="655" spans="1:3" ht="15.75">
      <c r="A655" s="120"/>
      <c r="B655" s="114" t="s">
        <v>32</v>
      </c>
      <c r="C655" s="115">
        <f>VLOOKUP($E$22,'Анализ стоимости'!$A$4:$DF$38,48,0)</f>
        <v>0</v>
      </c>
    </row>
    <row r="656" spans="1:5" ht="15.75">
      <c r="A656" s="120"/>
      <c r="B656" s="114" t="s">
        <v>82</v>
      </c>
      <c r="C656" s="115">
        <f>VLOOKUP($E$22,'Анализ стоимости'!$A$4:$DF$38,53,0)</f>
        <v>0</v>
      </c>
      <c r="E656" s="140">
        <f>VLOOKUP($E$22,'Анализ стоимости'!$A$4:$DF$38,73,0)</f>
        <v>0</v>
      </c>
    </row>
    <row r="657" spans="1:5" ht="16.5" thickBot="1">
      <c r="A657" s="128"/>
      <c r="B657" s="129" t="s">
        <v>140</v>
      </c>
      <c r="C657" s="130">
        <f>SUM(C654:C656)</f>
        <v>0</v>
      </c>
      <c r="E657" s="140">
        <f>VLOOKUP($E$22,'Анализ стоимости'!$A$4:$DF$38,64)</f>
        <v>0</v>
      </c>
    </row>
    <row r="658" spans="1:3" ht="15.75" hidden="1" outlineLevel="1">
      <c r="A658" s="131"/>
      <c r="B658" s="132" t="s">
        <v>136</v>
      </c>
      <c r="C658" s="133"/>
    </row>
    <row r="659" spans="1:3" ht="15.75" hidden="1" outlineLevel="1">
      <c r="A659" s="120"/>
      <c r="B659" s="114" t="s">
        <v>39</v>
      </c>
      <c r="C659" s="123">
        <f>IF(VLOOKUP($E$22,'Анализ стоимости'!$A$4:$DF$38,7,0)="да",IF(VLOOKUP($E$22,'Анализ стоимости'!$A$4:$DF$38,67,0)=0,0,DATE(2013,VLOOKUP($E$22,'Анализ стоимости'!$A$4:$DF$38,67,0),15)),0)</f>
        <v>0</v>
      </c>
    </row>
    <row r="660" spans="1:3" ht="15.75" hidden="1" outlineLevel="1">
      <c r="A660" s="120"/>
      <c r="B660" s="114" t="s">
        <v>31</v>
      </c>
      <c r="C660" s="123">
        <f>IF(C659=0,0,DATE(2013,VLOOKUP($E$22,'Анализ стоимости'!$A$4:$DF$38,68,0),15))</f>
        <v>0</v>
      </c>
    </row>
    <row r="661" spans="1:3" ht="25.5" hidden="1" outlineLevel="1">
      <c r="A661" s="120"/>
      <c r="B661" s="124" t="s">
        <v>104</v>
      </c>
      <c r="C661" s="125">
        <f>IF(C659=0,0,VLOOKUP($E$22,'Анализ стоимости'!$A$4:$DF$38,72,0)+1)</f>
        <v>0</v>
      </c>
    </row>
    <row r="662" spans="1:3" ht="15.75" hidden="1" outlineLevel="1">
      <c r="A662" s="120"/>
      <c r="B662" s="134" t="s">
        <v>137</v>
      </c>
      <c r="C662" s="115">
        <f>C647-C654</f>
        <v>0</v>
      </c>
    </row>
    <row r="663" spans="1:3" ht="15.75" hidden="1" outlineLevel="1">
      <c r="A663" s="120"/>
      <c r="B663" s="114" t="s">
        <v>32</v>
      </c>
      <c r="C663" s="115">
        <f>VLOOKUP($E$22,'Анализ стоимости'!$A$4:$DF$38,58,0)</f>
        <v>0</v>
      </c>
    </row>
    <row r="664" spans="1:3" ht="15.75" hidden="1" outlineLevel="1">
      <c r="A664" s="120"/>
      <c r="B664" s="114" t="s">
        <v>82</v>
      </c>
      <c r="C664" s="115">
        <f>VLOOKUP($E$22,'Анализ стоимости'!$A$4:$DF$38,63,0)</f>
        <v>0</v>
      </c>
    </row>
    <row r="665" spans="1:3" ht="16.5" hidden="1" outlineLevel="1" thickBot="1">
      <c r="A665" s="128"/>
      <c r="B665" s="129" t="s">
        <v>138</v>
      </c>
      <c r="C665" s="130">
        <f>SUM(C662:C664)</f>
        <v>0</v>
      </c>
    </row>
    <row r="666" spans="1:5" ht="16.5" hidden="1" outlineLevel="1" collapsed="1" thickBot="1">
      <c r="A666" s="135"/>
      <c r="B666" s="136" t="s">
        <v>70</v>
      </c>
      <c r="C666" s="151">
        <f>ROUND(C657+C665,0)</f>
        <v>0</v>
      </c>
      <c r="E666" s="152">
        <f>IF(E$22=0,0,C666)</f>
        <v>0</v>
      </c>
    </row>
    <row r="667" spans="1:3" ht="15.75" collapsed="1">
      <c r="A667" s="137"/>
      <c r="B667" s="138"/>
      <c r="C667" s="139"/>
    </row>
    <row r="668" spans="1:3" ht="15.75">
      <c r="A668" s="137"/>
      <c r="B668" s="138"/>
      <c r="C668" s="139"/>
    </row>
    <row r="669" spans="1:7" ht="31.5">
      <c r="A669" s="204" t="str">
        <f>'Анализ стоимости'!$I$37</f>
        <v>Глава Сергиевского сельского поселения Кореновского района</v>
      </c>
      <c r="B669" s="205"/>
      <c r="C669" s="141" t="str">
        <f>CONCATENATE("_____________________ ",'Анализ стоимости'!$I$38)</f>
        <v>_____________________ С.А. Басеев </v>
      </c>
      <c r="G669" s="164" t="str">
        <f>A669</f>
        <v>Глава Сергиевского сельского поселения Кореновского района</v>
      </c>
    </row>
    <row r="670" spans="1:7" s="153" customFormat="1" ht="15.75">
      <c r="A670" s="96"/>
      <c r="B670" s="144"/>
      <c r="C670" s="96"/>
      <c r="F670" s="154"/>
      <c r="G670" s="165"/>
    </row>
    <row r="671" spans="1:7" s="153" customFormat="1" ht="15.75">
      <c r="A671" s="196"/>
      <c r="B671" s="196"/>
      <c r="C671" s="94"/>
      <c r="F671" s="154"/>
      <c r="G671" s="165"/>
    </row>
    <row r="672" spans="1:3" ht="15.75">
      <c r="A672" s="196"/>
      <c r="B672" s="196"/>
      <c r="C672" s="94"/>
    </row>
    <row r="673" spans="1:3" ht="18.75">
      <c r="A673" s="207" t="s">
        <v>35</v>
      </c>
      <c r="B673" s="207"/>
      <c r="C673" s="207"/>
    </row>
    <row r="674" spans="1:6" ht="63">
      <c r="A674" s="206" t="str">
        <f>F674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674" s="206"/>
      <c r="C674" s="206"/>
      <c r="F67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675" spans="1:6" ht="15.75">
      <c r="A675" s="206" t="str">
        <f>F675</f>
        <v>Наименование объекта: </v>
      </c>
      <c r="B675" s="206"/>
      <c r="C675" s="206"/>
      <c r="F675" s="146" t="str">
        <f>CONCATENATE("Наименование объекта: ",VLOOKUP($E$23,'Анализ стоимости'!$A$4:$DF$38,9,0))</f>
        <v>Наименование объекта: </v>
      </c>
    </row>
    <row r="676" spans="1:5" ht="15.75">
      <c r="A676" s="196" t="s">
        <v>53</v>
      </c>
      <c r="B676" s="196"/>
      <c r="C676" s="196"/>
      <c r="E676" s="147"/>
    </row>
    <row r="677" spans="1:3" ht="15.75">
      <c r="A677" s="197" t="s">
        <v>109</v>
      </c>
      <c r="B677" s="197"/>
      <c r="C677" s="197"/>
    </row>
    <row r="678" spans="1:3" ht="15.75">
      <c r="A678" s="197" t="str">
        <f>CONCATENATE("учетом сроков строительства и НДС: ",FIXED(C708,0)," руб.")</f>
        <v>учетом сроков строительства и НДС: 0 руб.</v>
      </c>
      <c r="B678" s="197"/>
      <c r="C678" s="97"/>
    </row>
    <row r="679" spans="1:7" s="104" customFormat="1" ht="7.5" thickBot="1">
      <c r="A679" s="148"/>
      <c r="B679" s="149"/>
      <c r="C679" s="148"/>
      <c r="F679" s="150"/>
      <c r="G679" s="162"/>
    </row>
    <row r="680" spans="1:3" ht="17.25" thickBot="1" thickTop="1">
      <c r="A680" s="198" t="s">
        <v>54</v>
      </c>
      <c r="B680" s="199"/>
      <c r="C680" s="200"/>
    </row>
    <row r="681" spans="1:3" ht="39" thickBot="1">
      <c r="A681" s="107" t="s">
        <v>28</v>
      </c>
      <c r="B681" s="108" t="s">
        <v>58</v>
      </c>
      <c r="C681" s="107" t="s">
        <v>141</v>
      </c>
    </row>
    <row r="682" spans="1:3" ht="15.75">
      <c r="A682" s="110">
        <v>1</v>
      </c>
      <c r="B682" s="111" t="s">
        <v>42</v>
      </c>
      <c r="C682" s="112">
        <f>VLOOKUP($E$23,'Анализ стоимости'!$A$4:$DF$38,11,0)</f>
        <v>0</v>
      </c>
    </row>
    <row r="683" spans="1:3" ht="15.75">
      <c r="A683" s="113">
        <v>2</v>
      </c>
      <c r="B683" s="114" t="s">
        <v>65</v>
      </c>
      <c r="C683" s="115">
        <f>VLOOKUP($E$23,'Анализ стоимости'!$A$4:$DF$38,12,0)</f>
        <v>0</v>
      </c>
    </row>
    <row r="684" spans="1:3" ht="31.5">
      <c r="A684" s="113">
        <v>3</v>
      </c>
      <c r="B684" s="114" t="s">
        <v>75</v>
      </c>
      <c r="C684" s="115">
        <f>VLOOKUP($E$23,'Анализ стоимости'!$A$4:$DF$38,13,0)</f>
        <v>0</v>
      </c>
    </row>
    <row r="685" spans="1:3" ht="15.75">
      <c r="A685" s="113">
        <v>4</v>
      </c>
      <c r="B685" s="114" t="s">
        <v>66</v>
      </c>
      <c r="C685" s="115">
        <f>VLOOKUP($E$23,'Анализ стоимости'!$A$4:$DF$38,14,0)</f>
        <v>0</v>
      </c>
    </row>
    <row r="686" spans="1:3" ht="15.75">
      <c r="A686" s="113">
        <v>5</v>
      </c>
      <c r="B686" s="114" t="s">
        <v>76</v>
      </c>
      <c r="C686" s="115">
        <f>VLOOKUP($E$23,'Анализ стоимости'!$A$4:$DF$38,15,0)</f>
        <v>0</v>
      </c>
    </row>
    <row r="687" spans="1:3" ht="15.75">
      <c r="A687" s="113">
        <v>6</v>
      </c>
      <c r="B687" s="114" t="s">
        <v>33</v>
      </c>
      <c r="C687" s="115">
        <f>VLOOKUP($E$23,'Анализ стоимости'!$A$4:$DF$38,19,0)</f>
        <v>0</v>
      </c>
    </row>
    <row r="688" spans="1:3" ht="15.75">
      <c r="A688" s="113">
        <v>7</v>
      </c>
      <c r="B688" s="114" t="s">
        <v>51</v>
      </c>
      <c r="C688" s="115">
        <f>VLOOKUP($E$23,'Анализ стоимости'!$A$4:$DF$38,20,0)+VLOOKUP($E$23,'Анализ стоимости'!$A$4:$DF$38,22,0)+VLOOKUP($E$23,'Анализ стоимости'!$A$4:$DF$38,23,0)+VLOOKUP($E$23,'Анализ стоимости'!$A$4:$DF$38,24,0)+VLOOKUP($E$23,'Анализ стоимости'!$A$4:$DF$38,25,0)+VLOOKUP($E$23,'Анализ стоимости'!$A$4:$DF$38,26,0)+VLOOKUP($E$23,'Анализ стоимости'!$A$4:$DF$38,27,0)+VLOOKUP($E$23,'Анализ стоимости'!$A$4:$DF$38,28,0)+VLOOKUP($E$23,'Анализ стоимости'!$A$4:$DF$38,33,0)</f>
        <v>0</v>
      </c>
    </row>
    <row r="689" spans="1:9" ht="16.5" thickBot="1">
      <c r="A689" s="116"/>
      <c r="B689" s="117" t="s">
        <v>69</v>
      </c>
      <c r="C689" s="118">
        <f>SUM(C682:C688)</f>
        <v>0</v>
      </c>
      <c r="H689" s="109"/>
      <c r="I689" s="109"/>
    </row>
    <row r="690" spans="1:3" ht="16.5" thickBot="1">
      <c r="A690" s="201" t="s">
        <v>59</v>
      </c>
      <c r="B690" s="202"/>
      <c r="C690" s="203"/>
    </row>
    <row r="691" spans="1:3" ht="26.25" thickBot="1">
      <c r="A691" s="119" t="s">
        <v>28</v>
      </c>
      <c r="B691" s="108" t="s">
        <v>38</v>
      </c>
      <c r="C691" s="107" t="s">
        <v>60</v>
      </c>
    </row>
    <row r="692" spans="1:3" ht="15.75">
      <c r="A692" s="120"/>
      <c r="B692" s="121" t="s">
        <v>111</v>
      </c>
      <c r="C692" s="122"/>
    </row>
    <row r="693" spans="1:3" ht="15.75">
      <c r="A693" s="120"/>
      <c r="B693" s="114" t="s">
        <v>39</v>
      </c>
      <c r="C693" s="123">
        <f>IF(VLOOKUP($E$23,'Анализ стоимости'!$A$4:$DF$38,65,0)=0,0,DATE(2012,VLOOKUP($E$23,'Анализ стоимости'!$A$4:$DF$38,65,0),15))</f>
        <v>40923</v>
      </c>
    </row>
    <row r="694" spans="1:3" ht="15.75">
      <c r="A694" s="120"/>
      <c r="B694" s="114" t="s">
        <v>31</v>
      </c>
      <c r="C694" s="123">
        <f>IF(C693=0,0,DATE(2012,VLOOKUP($E$23,'Анализ стоимости'!$A$4:$DF$38,66,0),15))</f>
        <v>41258</v>
      </c>
    </row>
    <row r="695" spans="1:3" ht="25.5">
      <c r="A695" s="120"/>
      <c r="B695" s="124" t="s">
        <v>104</v>
      </c>
      <c r="C695" s="125">
        <f>IF(C693=0,0,VLOOKUP($E$23,'Анализ стоимости'!$A$4:$DF$38,71,0)+1)</f>
        <v>1.0725</v>
      </c>
    </row>
    <row r="696" spans="1:3" ht="15.75">
      <c r="A696" s="120"/>
      <c r="B696" s="134" t="s">
        <v>112</v>
      </c>
      <c r="C696" s="127">
        <f>VLOOKUP($E$23,'Анализ стоимости'!$A$4:$DF$38,43,0)</f>
        <v>0</v>
      </c>
    </row>
    <row r="697" spans="1:3" ht="15.75">
      <c r="A697" s="120"/>
      <c r="B697" s="114" t="s">
        <v>32</v>
      </c>
      <c r="C697" s="115">
        <f>VLOOKUP($E$23,'Анализ стоимости'!$A$4:$DF$38,48,0)</f>
        <v>0</v>
      </c>
    </row>
    <row r="698" spans="1:5" ht="15.75">
      <c r="A698" s="120"/>
      <c r="B698" s="114" t="s">
        <v>82</v>
      </c>
      <c r="C698" s="115">
        <f>VLOOKUP($E$23,'Анализ стоимости'!$A$4:$DF$38,53,0)</f>
        <v>0</v>
      </c>
      <c r="E698" s="140">
        <f>VLOOKUP($E$23,'Анализ стоимости'!$A$4:$DF$38,73,0)</f>
        <v>0</v>
      </c>
    </row>
    <row r="699" spans="1:5" ht="16.5" thickBot="1">
      <c r="A699" s="128"/>
      <c r="B699" s="129" t="s">
        <v>140</v>
      </c>
      <c r="C699" s="130">
        <f>SUM(C696:C698)</f>
        <v>0</v>
      </c>
      <c r="E699" s="140">
        <f>VLOOKUP($E$23,'Анализ стоимости'!$A$4:$DF$38,64)</f>
        <v>0</v>
      </c>
    </row>
    <row r="700" spans="1:3" ht="15.75" hidden="1" outlineLevel="1">
      <c r="A700" s="131"/>
      <c r="B700" s="132" t="s">
        <v>136</v>
      </c>
      <c r="C700" s="133"/>
    </row>
    <row r="701" spans="1:3" ht="15.75" hidden="1" outlineLevel="1">
      <c r="A701" s="120"/>
      <c r="B701" s="114" t="s">
        <v>39</v>
      </c>
      <c r="C701" s="123">
        <f>IF(VLOOKUP($E$23,'Анализ стоимости'!$A$4:$DF$38,7,0)="да",IF(VLOOKUP($E$23,'Анализ стоимости'!$A$4:$DF$38,67,0)=0,0,DATE(2013,VLOOKUP($E$23,'Анализ стоимости'!$A$4:$DF$38,67,0),15)),0)</f>
        <v>0</v>
      </c>
    </row>
    <row r="702" spans="1:3" ht="15.75" hidden="1" outlineLevel="1">
      <c r="A702" s="120"/>
      <c r="B702" s="114" t="s">
        <v>31</v>
      </c>
      <c r="C702" s="123">
        <f>IF(C701=0,0,DATE(2013,VLOOKUP($E$23,'Анализ стоимости'!$A$4:$DF$38,68,0),15))</f>
        <v>0</v>
      </c>
    </row>
    <row r="703" spans="1:3" ht="25.5" hidden="1" outlineLevel="1">
      <c r="A703" s="120"/>
      <c r="B703" s="124" t="s">
        <v>104</v>
      </c>
      <c r="C703" s="125">
        <f>IF(C701=0,0,VLOOKUP($E$23,'Анализ стоимости'!$A$4:$DF$38,72,0)+1)</f>
        <v>0</v>
      </c>
    </row>
    <row r="704" spans="1:3" ht="15.75" hidden="1" outlineLevel="1">
      <c r="A704" s="120"/>
      <c r="B704" s="134" t="s">
        <v>137</v>
      </c>
      <c r="C704" s="115">
        <f>C689-C696</f>
        <v>0</v>
      </c>
    </row>
    <row r="705" spans="1:3" ht="15.75" hidden="1" outlineLevel="1">
      <c r="A705" s="120"/>
      <c r="B705" s="114" t="s">
        <v>32</v>
      </c>
      <c r="C705" s="115">
        <f>VLOOKUP($E$23,'Анализ стоимости'!$A$4:$DF$38,58,0)</f>
        <v>0</v>
      </c>
    </row>
    <row r="706" spans="1:3" ht="15.75" hidden="1" outlineLevel="1">
      <c r="A706" s="120"/>
      <c r="B706" s="114" t="s">
        <v>82</v>
      </c>
      <c r="C706" s="115">
        <f>VLOOKUP($E$23,'Анализ стоимости'!$A$4:$DF$38,63,0)</f>
        <v>0</v>
      </c>
    </row>
    <row r="707" spans="1:3" ht="16.5" hidden="1" outlineLevel="1" thickBot="1">
      <c r="A707" s="128"/>
      <c r="B707" s="129" t="s">
        <v>138</v>
      </c>
      <c r="C707" s="130">
        <f>SUM(C704:C706)</f>
        <v>0</v>
      </c>
    </row>
    <row r="708" spans="1:5" ht="16.5" hidden="1" outlineLevel="1" collapsed="1" thickBot="1">
      <c r="A708" s="135"/>
      <c r="B708" s="136" t="s">
        <v>70</v>
      </c>
      <c r="C708" s="151">
        <f>ROUND(C699+C707,0)</f>
        <v>0</v>
      </c>
      <c r="E708" s="152">
        <f>IF(E$23=0,0,C708)</f>
        <v>0</v>
      </c>
    </row>
    <row r="709" spans="1:3" ht="15.75" collapsed="1">
      <c r="A709" s="137"/>
      <c r="B709" s="138"/>
      <c r="C709" s="139"/>
    </row>
    <row r="710" spans="1:3" ht="15.75">
      <c r="A710" s="137"/>
      <c r="B710" s="138"/>
      <c r="C710" s="139"/>
    </row>
    <row r="711" spans="1:7" ht="31.5">
      <c r="A711" s="204" t="str">
        <f>'Анализ стоимости'!$I$37</f>
        <v>Глава Сергиевского сельского поселения Кореновского района</v>
      </c>
      <c r="B711" s="205"/>
      <c r="C711" s="141" t="str">
        <f>CONCATENATE("_____________________ ",'Анализ стоимости'!$I$38)</f>
        <v>_____________________ С.А. Басеев </v>
      </c>
      <c r="G711" s="164" t="str">
        <f>A711</f>
        <v>Глава Сергиевского сельского поселения Кореновского района</v>
      </c>
    </row>
    <row r="712" spans="1:7" s="153" customFormat="1" ht="15.75">
      <c r="A712" s="96"/>
      <c r="B712" s="144"/>
      <c r="C712" s="96"/>
      <c r="F712" s="154"/>
      <c r="G712" s="165"/>
    </row>
    <row r="713" spans="1:7" s="153" customFormat="1" ht="15.75">
      <c r="A713" s="196"/>
      <c r="B713" s="196"/>
      <c r="C713" s="94"/>
      <c r="F713" s="154"/>
      <c r="G713" s="165"/>
    </row>
    <row r="714" spans="1:3" ht="15.75">
      <c r="A714" s="196"/>
      <c r="B714" s="196"/>
      <c r="C714" s="94"/>
    </row>
    <row r="715" spans="1:3" ht="18.75">
      <c r="A715" s="207" t="s">
        <v>35</v>
      </c>
      <c r="B715" s="207"/>
      <c r="C715" s="207"/>
    </row>
    <row r="716" spans="1:6" ht="63">
      <c r="A716" s="206" t="str">
        <f>F716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716" s="206"/>
      <c r="C716" s="206"/>
      <c r="F71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717" spans="1:6" ht="15.75">
      <c r="A717" s="206" t="str">
        <f>F717</f>
        <v>Наименование объекта: </v>
      </c>
      <c r="B717" s="206"/>
      <c r="C717" s="206"/>
      <c r="F717" s="146" t="str">
        <f>CONCATENATE("Наименование объекта: ",VLOOKUP($E$24,'Анализ стоимости'!$A$4:$DF$38,9,0))</f>
        <v>Наименование объекта: </v>
      </c>
    </row>
    <row r="718" spans="1:5" ht="15.75">
      <c r="A718" s="196" t="s">
        <v>53</v>
      </c>
      <c r="B718" s="196"/>
      <c r="C718" s="196"/>
      <c r="E718" s="147"/>
    </row>
    <row r="719" spans="1:3" ht="15.75">
      <c r="A719" s="197" t="s">
        <v>109</v>
      </c>
      <c r="B719" s="197"/>
      <c r="C719" s="197"/>
    </row>
    <row r="720" spans="1:3" ht="15.75">
      <c r="A720" s="197" t="str">
        <f>CONCATENATE("учетом сроков строительства и НДС: ",FIXED(C750,0)," руб.")</f>
        <v>учетом сроков строительства и НДС: 0 руб.</v>
      </c>
      <c r="B720" s="197"/>
      <c r="C720" s="97"/>
    </row>
    <row r="721" spans="1:7" s="104" customFormat="1" ht="7.5" thickBot="1">
      <c r="A721" s="148"/>
      <c r="B721" s="149"/>
      <c r="C721" s="148"/>
      <c r="F721" s="150"/>
      <c r="G721" s="162"/>
    </row>
    <row r="722" spans="1:3" ht="17.25" thickBot="1" thickTop="1">
      <c r="A722" s="198" t="s">
        <v>54</v>
      </c>
      <c r="B722" s="199"/>
      <c r="C722" s="200"/>
    </row>
    <row r="723" spans="1:3" ht="39" thickBot="1">
      <c r="A723" s="107" t="s">
        <v>28</v>
      </c>
      <c r="B723" s="108" t="s">
        <v>58</v>
      </c>
      <c r="C723" s="107" t="s">
        <v>141</v>
      </c>
    </row>
    <row r="724" spans="1:3" ht="15.75">
      <c r="A724" s="110">
        <v>1</v>
      </c>
      <c r="B724" s="111" t="s">
        <v>42</v>
      </c>
      <c r="C724" s="112">
        <f>VLOOKUP($E$24,'Анализ стоимости'!$A$4:$DF$38,11,0)</f>
        <v>0</v>
      </c>
    </row>
    <row r="725" spans="1:3" ht="15.75">
      <c r="A725" s="113">
        <v>2</v>
      </c>
      <c r="B725" s="114" t="s">
        <v>65</v>
      </c>
      <c r="C725" s="115">
        <f>VLOOKUP($E$24,'Анализ стоимости'!$A$4:$DF$38,12,0)</f>
        <v>0</v>
      </c>
    </row>
    <row r="726" spans="1:3" ht="31.5">
      <c r="A726" s="113">
        <v>3</v>
      </c>
      <c r="B726" s="114" t="s">
        <v>75</v>
      </c>
      <c r="C726" s="115">
        <f>VLOOKUP($E$24,'Анализ стоимости'!$A$4:$DF$38,13,0)</f>
        <v>0</v>
      </c>
    </row>
    <row r="727" spans="1:3" ht="15.75">
      <c r="A727" s="113">
        <v>4</v>
      </c>
      <c r="B727" s="114" t="s">
        <v>66</v>
      </c>
      <c r="C727" s="115">
        <f>VLOOKUP($E$24,'Анализ стоимости'!$A$4:$DF$38,14,0)</f>
        <v>0</v>
      </c>
    </row>
    <row r="728" spans="1:3" ht="15.75">
      <c r="A728" s="113">
        <v>5</v>
      </c>
      <c r="B728" s="114" t="s">
        <v>76</v>
      </c>
      <c r="C728" s="115">
        <f>VLOOKUP($E$24,'Анализ стоимости'!$A$4:$DF$38,15,0)</f>
        <v>0</v>
      </c>
    </row>
    <row r="729" spans="1:3" ht="15.75">
      <c r="A729" s="113">
        <v>6</v>
      </c>
      <c r="B729" s="114" t="s">
        <v>33</v>
      </c>
      <c r="C729" s="115">
        <f>VLOOKUP($E$24,'Анализ стоимости'!$A$4:$DF$38,19,0)</f>
        <v>0</v>
      </c>
    </row>
    <row r="730" spans="1:3" ht="15.75">
      <c r="A730" s="113">
        <v>7</v>
      </c>
      <c r="B730" s="114" t="s">
        <v>51</v>
      </c>
      <c r="C730" s="115">
        <f>VLOOKUP($E$24,'Анализ стоимости'!$A$4:$DF$38,20,0)+VLOOKUP($E$24,'Анализ стоимости'!$A$4:$DF$38,22,0)+VLOOKUP($E$24,'Анализ стоимости'!$A$4:$DF$38,23,0)+VLOOKUP($E$24,'Анализ стоимости'!$A$4:$DF$38,24,0)+VLOOKUP($E$24,'Анализ стоимости'!$A$4:$DF$38,25,0)+VLOOKUP($E$24,'Анализ стоимости'!$A$4:$DF$38,26,0)+VLOOKUP($E$24,'Анализ стоимости'!$A$4:$DF$38,27,0)+VLOOKUP($E$24,'Анализ стоимости'!$A$4:$DF$38,28,0)+VLOOKUP($E$24,'Анализ стоимости'!$A$4:$DF$38,33,0)</f>
        <v>0</v>
      </c>
    </row>
    <row r="731" spans="1:9" ht="16.5" thickBot="1">
      <c r="A731" s="116"/>
      <c r="B731" s="117" t="s">
        <v>69</v>
      </c>
      <c r="C731" s="118">
        <f>SUM(C724:C730)</f>
        <v>0</v>
      </c>
      <c r="H731" s="109"/>
      <c r="I731" s="109"/>
    </row>
    <row r="732" spans="1:3" ht="16.5" thickBot="1">
      <c r="A732" s="201" t="s">
        <v>59</v>
      </c>
      <c r="B732" s="202"/>
      <c r="C732" s="203"/>
    </row>
    <row r="733" spans="1:3" ht="26.25" thickBot="1">
      <c r="A733" s="119" t="s">
        <v>28</v>
      </c>
      <c r="B733" s="108" t="s">
        <v>38</v>
      </c>
      <c r="C733" s="107" t="s">
        <v>60</v>
      </c>
    </row>
    <row r="734" spans="1:3" ht="15.75">
      <c r="A734" s="120"/>
      <c r="B734" s="121" t="s">
        <v>111</v>
      </c>
      <c r="C734" s="122"/>
    </row>
    <row r="735" spans="1:3" ht="15.75">
      <c r="A735" s="120"/>
      <c r="B735" s="114" t="s">
        <v>39</v>
      </c>
      <c r="C735" s="123">
        <f>IF(VLOOKUP($E$24,'Анализ стоимости'!$A$4:$DF$38,65,0)=0,0,DATE(2012,VLOOKUP($E$24,'Анализ стоимости'!$A$4:$DF$38,65,0),15))</f>
        <v>40923</v>
      </c>
    </row>
    <row r="736" spans="1:3" ht="15.75">
      <c r="A736" s="120"/>
      <c r="B736" s="114" t="s">
        <v>31</v>
      </c>
      <c r="C736" s="123">
        <f>IF(C735=0,0,DATE(2012,VLOOKUP($E$24,'Анализ стоимости'!$A$4:$DF$38,66,0),15))</f>
        <v>41258</v>
      </c>
    </row>
    <row r="737" spans="1:3" ht="25.5">
      <c r="A737" s="120"/>
      <c r="B737" s="124" t="s">
        <v>104</v>
      </c>
      <c r="C737" s="125">
        <f>IF(C735=0,0,VLOOKUP($E$24,'Анализ стоимости'!$A$4:$DF$38,71,0)+1)</f>
        <v>1.0725</v>
      </c>
    </row>
    <row r="738" spans="1:3" ht="15.75">
      <c r="A738" s="120"/>
      <c r="B738" s="134" t="s">
        <v>112</v>
      </c>
      <c r="C738" s="127">
        <f>VLOOKUP($E$24,'Анализ стоимости'!$A$4:$DF$38,43,0)</f>
        <v>0</v>
      </c>
    </row>
    <row r="739" spans="1:3" ht="15.75">
      <c r="A739" s="120"/>
      <c r="B739" s="114" t="s">
        <v>32</v>
      </c>
      <c r="C739" s="115">
        <f>VLOOKUP($E$24,'Анализ стоимости'!$A$4:$DF$38,48,0)</f>
        <v>0</v>
      </c>
    </row>
    <row r="740" spans="1:5" ht="15.75">
      <c r="A740" s="120"/>
      <c r="B740" s="114" t="s">
        <v>82</v>
      </c>
      <c r="C740" s="115">
        <f>VLOOKUP($E$24,'Анализ стоимости'!$A$4:$DF$38,53,0)</f>
        <v>0</v>
      </c>
      <c r="E740" s="140">
        <f>VLOOKUP($E$24,'Анализ стоимости'!$A$4:$DF$38,73,0)</f>
        <v>0</v>
      </c>
    </row>
    <row r="741" spans="1:5" ht="16.5" thickBot="1">
      <c r="A741" s="128"/>
      <c r="B741" s="129" t="s">
        <v>140</v>
      </c>
      <c r="C741" s="130">
        <f>SUM(C738:C740)</f>
        <v>0</v>
      </c>
      <c r="E741" s="140">
        <f>VLOOKUP($E$24,'Анализ стоимости'!$A$4:$DF$38,64)</f>
        <v>0</v>
      </c>
    </row>
    <row r="742" spans="1:3" ht="15.75" hidden="1" outlineLevel="1">
      <c r="A742" s="131"/>
      <c r="B742" s="132" t="s">
        <v>136</v>
      </c>
      <c r="C742" s="133"/>
    </row>
    <row r="743" spans="1:3" ht="15.75" hidden="1" outlineLevel="1">
      <c r="A743" s="120"/>
      <c r="B743" s="114" t="s">
        <v>39</v>
      </c>
      <c r="C743" s="123">
        <f>IF(VLOOKUP($E$24,'Анализ стоимости'!$A$4:$DF$38,7,0)="да",IF(VLOOKUP($E$24,'Анализ стоимости'!$A$4:$DF$38,67,0)=0,0,DATE(2013,VLOOKUP($E$24,'Анализ стоимости'!$A$4:$DF$38,67,0),15)),0)</f>
        <v>0</v>
      </c>
    </row>
    <row r="744" spans="1:3" ht="15.75" hidden="1" outlineLevel="1">
      <c r="A744" s="120"/>
      <c r="B744" s="114" t="s">
        <v>31</v>
      </c>
      <c r="C744" s="123">
        <f>IF(C743=0,0,DATE(2013,VLOOKUP($E$24,'Анализ стоимости'!$A$4:$DF$38,68,0),15))</f>
        <v>0</v>
      </c>
    </row>
    <row r="745" spans="1:3" ht="25.5" hidden="1" outlineLevel="1">
      <c r="A745" s="120"/>
      <c r="B745" s="124" t="s">
        <v>104</v>
      </c>
      <c r="C745" s="125">
        <f>IF(C743=0,0,VLOOKUP($E$24,'Анализ стоимости'!$A$4:$DF$38,72,0)+1)</f>
        <v>0</v>
      </c>
    </row>
    <row r="746" spans="1:3" ht="15.75" hidden="1" outlineLevel="1">
      <c r="A746" s="120"/>
      <c r="B746" s="134" t="s">
        <v>137</v>
      </c>
      <c r="C746" s="115">
        <f>C731-C738</f>
        <v>0</v>
      </c>
    </row>
    <row r="747" spans="1:3" ht="15.75" hidden="1" outlineLevel="1">
      <c r="A747" s="120"/>
      <c r="B747" s="114" t="s">
        <v>32</v>
      </c>
      <c r="C747" s="115">
        <f>VLOOKUP($E$24,'Анализ стоимости'!$A$4:$DF$38,58,0)</f>
        <v>0</v>
      </c>
    </row>
    <row r="748" spans="1:3" ht="15.75" hidden="1" outlineLevel="1">
      <c r="A748" s="120"/>
      <c r="B748" s="114" t="s">
        <v>82</v>
      </c>
      <c r="C748" s="115">
        <f>VLOOKUP($E$24,'Анализ стоимости'!$A$4:$DF$38,63,0)</f>
        <v>0</v>
      </c>
    </row>
    <row r="749" spans="1:3" ht="16.5" hidden="1" outlineLevel="1" thickBot="1">
      <c r="A749" s="128"/>
      <c r="B749" s="129" t="s">
        <v>138</v>
      </c>
      <c r="C749" s="130">
        <f>SUM(C746:C748)</f>
        <v>0</v>
      </c>
    </row>
    <row r="750" spans="1:5" ht="16.5" hidden="1" outlineLevel="1" collapsed="1" thickBot="1">
      <c r="A750" s="135"/>
      <c r="B750" s="136" t="s">
        <v>70</v>
      </c>
      <c r="C750" s="151">
        <f>ROUND(C741+C749,0)</f>
        <v>0</v>
      </c>
      <c r="E750" s="152">
        <f>IF(E$24=0,0,C750)</f>
        <v>0</v>
      </c>
    </row>
    <row r="751" spans="1:3" ht="15.75" collapsed="1">
      <c r="A751" s="137"/>
      <c r="B751" s="138"/>
      <c r="C751" s="139"/>
    </row>
    <row r="752" spans="1:3" ht="15.75">
      <c r="A752" s="137"/>
      <c r="B752" s="138"/>
      <c r="C752" s="139"/>
    </row>
    <row r="753" spans="1:7" ht="31.5">
      <c r="A753" s="204" t="str">
        <f>'Анализ стоимости'!$I$37</f>
        <v>Глава Сергиевского сельского поселения Кореновского района</v>
      </c>
      <c r="B753" s="205"/>
      <c r="C753" s="141" t="str">
        <f>CONCATENATE("_____________________ ",'Анализ стоимости'!$I$38)</f>
        <v>_____________________ С.А. Басеев </v>
      </c>
      <c r="G753" s="164" t="str">
        <f>A753</f>
        <v>Глава Сергиевского сельского поселения Кореновского района</v>
      </c>
    </row>
    <row r="754" spans="1:7" s="153" customFormat="1" ht="15.75">
      <c r="A754" s="96"/>
      <c r="B754" s="144"/>
      <c r="C754" s="96"/>
      <c r="F754" s="154"/>
      <c r="G754" s="165"/>
    </row>
    <row r="755" spans="1:7" s="153" customFormat="1" ht="15.75">
      <c r="A755" s="196"/>
      <c r="B755" s="196"/>
      <c r="C755" s="94"/>
      <c r="F755" s="154"/>
      <c r="G755" s="165"/>
    </row>
    <row r="756" spans="1:3" ht="15.75">
      <c r="A756" s="196"/>
      <c r="B756" s="196"/>
      <c r="C756" s="94"/>
    </row>
    <row r="757" spans="1:3" ht="18.75">
      <c r="A757" s="207" t="s">
        <v>35</v>
      </c>
      <c r="B757" s="207"/>
      <c r="C757" s="207"/>
    </row>
    <row r="758" spans="1:6" ht="63">
      <c r="A758" s="206" t="str">
        <f>F758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758" s="206"/>
      <c r="C758" s="206"/>
      <c r="F75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759" spans="1:6" ht="15.75">
      <c r="A759" s="206" t="str">
        <f>F759</f>
        <v>Наименование объекта: </v>
      </c>
      <c r="B759" s="206"/>
      <c r="C759" s="206"/>
      <c r="F759" s="146" t="str">
        <f>CONCATENATE("Наименование объекта: ",VLOOKUP($E$25,'Анализ стоимости'!$A$4:$DF$38,9,0))</f>
        <v>Наименование объекта: </v>
      </c>
    </row>
    <row r="760" spans="1:5" ht="15.75">
      <c r="A760" s="196" t="s">
        <v>53</v>
      </c>
      <c r="B760" s="196"/>
      <c r="C760" s="196"/>
      <c r="E760" s="147"/>
    </row>
    <row r="761" spans="1:3" ht="15.75">
      <c r="A761" s="197" t="s">
        <v>109</v>
      </c>
      <c r="B761" s="197"/>
      <c r="C761" s="197"/>
    </row>
    <row r="762" spans="1:3" ht="15.75">
      <c r="A762" s="197" t="str">
        <f>CONCATENATE("учетом сроков строительства и НДС: ",FIXED(C792,0)," руб.")</f>
        <v>учетом сроков строительства и НДС: 0 руб.</v>
      </c>
      <c r="B762" s="197"/>
      <c r="C762" s="97"/>
    </row>
    <row r="763" spans="1:7" s="104" customFormat="1" ht="7.5" thickBot="1">
      <c r="A763" s="148"/>
      <c r="B763" s="149"/>
      <c r="C763" s="148"/>
      <c r="F763" s="150"/>
      <c r="G763" s="162"/>
    </row>
    <row r="764" spans="1:3" ht="17.25" thickBot="1" thickTop="1">
      <c r="A764" s="198" t="s">
        <v>54</v>
      </c>
      <c r="B764" s="199"/>
      <c r="C764" s="200"/>
    </row>
    <row r="765" spans="1:3" ht="39" thickBot="1">
      <c r="A765" s="107" t="s">
        <v>28</v>
      </c>
      <c r="B765" s="108" t="s">
        <v>58</v>
      </c>
      <c r="C765" s="107" t="s">
        <v>141</v>
      </c>
    </row>
    <row r="766" spans="1:3" ht="15.75">
      <c r="A766" s="110">
        <v>1</v>
      </c>
      <c r="B766" s="111" t="s">
        <v>42</v>
      </c>
      <c r="C766" s="112">
        <f>VLOOKUP($E$25,'Анализ стоимости'!$A$4:$DF$38,11,0)</f>
        <v>0</v>
      </c>
    </row>
    <row r="767" spans="1:3" ht="15.75">
      <c r="A767" s="113">
        <v>2</v>
      </c>
      <c r="B767" s="114" t="s">
        <v>65</v>
      </c>
      <c r="C767" s="115">
        <f>VLOOKUP($E$25,'Анализ стоимости'!$A$4:$DF$38,12,0)</f>
        <v>0</v>
      </c>
    </row>
    <row r="768" spans="1:3" ht="31.5">
      <c r="A768" s="113">
        <v>3</v>
      </c>
      <c r="B768" s="114" t="s">
        <v>75</v>
      </c>
      <c r="C768" s="115">
        <f>VLOOKUP($E$25,'Анализ стоимости'!$A$4:$DF$38,13,0)</f>
        <v>0</v>
      </c>
    </row>
    <row r="769" spans="1:3" ht="15.75">
      <c r="A769" s="113">
        <v>4</v>
      </c>
      <c r="B769" s="114" t="s">
        <v>66</v>
      </c>
      <c r="C769" s="115">
        <f>VLOOKUP($E$25,'Анализ стоимости'!$A$4:$DF$38,14,0)</f>
        <v>0</v>
      </c>
    </row>
    <row r="770" spans="1:3" ht="15.75">
      <c r="A770" s="113">
        <v>5</v>
      </c>
      <c r="B770" s="114" t="s">
        <v>76</v>
      </c>
      <c r="C770" s="115">
        <f>VLOOKUP($E$25,'Анализ стоимости'!$A$4:$DF$38,15,0)</f>
        <v>0</v>
      </c>
    </row>
    <row r="771" spans="1:3" ht="15.75">
      <c r="A771" s="113">
        <v>6</v>
      </c>
      <c r="B771" s="114" t="s">
        <v>33</v>
      </c>
      <c r="C771" s="115">
        <f>VLOOKUP($E$25,'Анализ стоимости'!$A$4:$DF$38,19,0)</f>
        <v>0</v>
      </c>
    </row>
    <row r="772" spans="1:3" ht="15.75">
      <c r="A772" s="113">
        <v>7</v>
      </c>
      <c r="B772" s="114" t="s">
        <v>51</v>
      </c>
      <c r="C772" s="115">
        <f>VLOOKUP($E$25,'Анализ стоимости'!$A$4:$DF$38,20,0)+VLOOKUP($E$25,'Анализ стоимости'!$A$4:$DF$38,22,0)+VLOOKUP($E$25,'Анализ стоимости'!$A$4:$DF$38,23,0)+VLOOKUP($E$25,'Анализ стоимости'!$A$4:$DF$38,24,0)+VLOOKUP($E$25,'Анализ стоимости'!$A$4:$DF$38,25,0)+VLOOKUP($E$25,'Анализ стоимости'!$A$4:$DF$38,26,0)+VLOOKUP($E$25,'Анализ стоимости'!$A$4:$DF$38,27,0)+VLOOKUP($E$25,'Анализ стоимости'!$A$4:$DF$38,28,0)+VLOOKUP($E$25,'Анализ стоимости'!$A$4:$DF$38,33,0)</f>
        <v>0</v>
      </c>
    </row>
    <row r="773" spans="1:9" ht="16.5" thickBot="1">
      <c r="A773" s="116"/>
      <c r="B773" s="117" t="s">
        <v>69</v>
      </c>
      <c r="C773" s="118">
        <f>SUM(C766:C772)</f>
        <v>0</v>
      </c>
      <c r="H773" s="109"/>
      <c r="I773" s="109"/>
    </row>
    <row r="774" spans="1:3" ht="16.5" thickBot="1">
      <c r="A774" s="201" t="s">
        <v>59</v>
      </c>
      <c r="B774" s="202"/>
      <c r="C774" s="203"/>
    </row>
    <row r="775" spans="1:3" ht="26.25" thickBot="1">
      <c r="A775" s="119" t="s">
        <v>28</v>
      </c>
      <c r="B775" s="108" t="s">
        <v>38</v>
      </c>
      <c r="C775" s="107" t="s">
        <v>60</v>
      </c>
    </row>
    <row r="776" spans="1:3" ht="15.75">
      <c r="A776" s="120"/>
      <c r="B776" s="121" t="s">
        <v>111</v>
      </c>
      <c r="C776" s="122"/>
    </row>
    <row r="777" spans="1:3" ht="15.75">
      <c r="A777" s="120"/>
      <c r="B777" s="114" t="s">
        <v>39</v>
      </c>
      <c r="C777" s="123">
        <f>IF(VLOOKUP($E$25,'Анализ стоимости'!$A$4:$DF$38,65,0)=0,0,DATE(2012,VLOOKUP($E$25,'Анализ стоимости'!$A$4:$DF$38,65,0),15))</f>
        <v>40923</v>
      </c>
    </row>
    <row r="778" spans="1:3" ht="15.75">
      <c r="A778" s="120"/>
      <c r="B778" s="114" t="s">
        <v>31</v>
      </c>
      <c r="C778" s="123">
        <f>IF(C777=0,0,DATE(2012,VLOOKUP($E$25,'Анализ стоимости'!$A$4:$DF$38,66,0),15))</f>
        <v>41258</v>
      </c>
    </row>
    <row r="779" spans="1:3" ht="25.5">
      <c r="A779" s="120"/>
      <c r="B779" s="124" t="s">
        <v>104</v>
      </c>
      <c r="C779" s="125">
        <f>IF(C777=0,0,VLOOKUP($E$25,'Анализ стоимости'!$A$4:$DF$38,71,0)+1)</f>
        <v>1.0725</v>
      </c>
    </row>
    <row r="780" spans="1:3" ht="15.75">
      <c r="A780" s="120"/>
      <c r="B780" s="134" t="s">
        <v>112</v>
      </c>
      <c r="C780" s="127">
        <f>VLOOKUP($E$25,'Анализ стоимости'!$A$4:$DF$38,43,0)</f>
        <v>0</v>
      </c>
    </row>
    <row r="781" spans="1:3" ht="15.75">
      <c r="A781" s="120"/>
      <c r="B781" s="114" t="s">
        <v>32</v>
      </c>
      <c r="C781" s="115">
        <f>VLOOKUP($E$25,'Анализ стоимости'!$A$4:$DF$38,48,0)</f>
        <v>0</v>
      </c>
    </row>
    <row r="782" spans="1:5" ht="15.75">
      <c r="A782" s="120"/>
      <c r="B782" s="114" t="s">
        <v>82</v>
      </c>
      <c r="C782" s="115">
        <f>VLOOKUP($E$25,'Анализ стоимости'!$A$4:$DF$38,53,0)</f>
        <v>0</v>
      </c>
      <c r="E782" s="140">
        <f>VLOOKUP($E$25,'Анализ стоимости'!$A$4:$DF$38,73,0)</f>
        <v>0</v>
      </c>
    </row>
    <row r="783" spans="1:5" ht="16.5" thickBot="1">
      <c r="A783" s="128"/>
      <c r="B783" s="129" t="s">
        <v>140</v>
      </c>
      <c r="C783" s="130">
        <f>SUM(C780:C782)</f>
        <v>0</v>
      </c>
      <c r="E783" s="140">
        <f>VLOOKUP($E$25,'Анализ стоимости'!$A$4:$DF$38,64)</f>
        <v>0</v>
      </c>
    </row>
    <row r="784" spans="1:3" ht="15.75" hidden="1" outlineLevel="1">
      <c r="A784" s="131"/>
      <c r="B784" s="132" t="s">
        <v>136</v>
      </c>
      <c r="C784" s="133"/>
    </row>
    <row r="785" spans="1:3" ht="15.75" hidden="1" outlineLevel="1">
      <c r="A785" s="120"/>
      <c r="B785" s="114" t="s">
        <v>39</v>
      </c>
      <c r="C785" s="123">
        <f>IF(VLOOKUP($E$25,'Анализ стоимости'!$A$4:$DF$38,7,0)="да",IF(VLOOKUP($E$25,'Анализ стоимости'!$A$4:$DF$38,67,0)=0,0,DATE(2013,VLOOKUP($E$25,'Анализ стоимости'!$A$4:$DF$38,67,0),15)),0)</f>
        <v>0</v>
      </c>
    </row>
    <row r="786" spans="1:3" ht="15.75" hidden="1" outlineLevel="1">
      <c r="A786" s="120"/>
      <c r="B786" s="114" t="s">
        <v>31</v>
      </c>
      <c r="C786" s="123">
        <f>IF(C785=0,0,DATE(2013,VLOOKUP($E$25,'Анализ стоимости'!$A$4:$DF$38,68,0),15))</f>
        <v>0</v>
      </c>
    </row>
    <row r="787" spans="1:3" ht="25.5" hidden="1" outlineLevel="1">
      <c r="A787" s="120"/>
      <c r="B787" s="124" t="s">
        <v>104</v>
      </c>
      <c r="C787" s="125">
        <f>IF(C785=0,0,VLOOKUP($E$25,'Анализ стоимости'!$A$4:$DF$38,72,0)+1)</f>
        <v>0</v>
      </c>
    </row>
    <row r="788" spans="1:3" ht="15.75" hidden="1" outlineLevel="1">
      <c r="A788" s="120"/>
      <c r="B788" s="134" t="s">
        <v>137</v>
      </c>
      <c r="C788" s="115">
        <f>C773-C780</f>
        <v>0</v>
      </c>
    </row>
    <row r="789" spans="1:3" ht="15.75" hidden="1" outlineLevel="1">
      <c r="A789" s="120"/>
      <c r="B789" s="114" t="s">
        <v>32</v>
      </c>
      <c r="C789" s="115">
        <f>VLOOKUP($E$25,'Анализ стоимости'!$A$4:$DF$38,58,0)</f>
        <v>0</v>
      </c>
    </row>
    <row r="790" spans="1:3" ht="15.75" hidden="1" outlineLevel="1">
      <c r="A790" s="120"/>
      <c r="B790" s="114" t="s">
        <v>82</v>
      </c>
      <c r="C790" s="115">
        <f>VLOOKUP($E$25,'Анализ стоимости'!$A$4:$DF$38,63,0)</f>
        <v>0</v>
      </c>
    </row>
    <row r="791" spans="1:3" ht="16.5" hidden="1" outlineLevel="1" thickBot="1">
      <c r="A791" s="128"/>
      <c r="B791" s="129" t="s">
        <v>138</v>
      </c>
      <c r="C791" s="130">
        <f>SUM(C788:C790)</f>
        <v>0</v>
      </c>
    </row>
    <row r="792" spans="1:5" ht="16.5" hidden="1" outlineLevel="1" collapsed="1" thickBot="1">
      <c r="A792" s="135"/>
      <c r="B792" s="136" t="s">
        <v>70</v>
      </c>
      <c r="C792" s="151">
        <f>ROUND(C783+C791,0)</f>
        <v>0</v>
      </c>
      <c r="E792" s="152">
        <f>IF(E$25=0,0,C792)</f>
        <v>0</v>
      </c>
    </row>
    <row r="793" spans="1:3" ht="15.75" collapsed="1">
      <c r="A793" s="137"/>
      <c r="B793" s="138"/>
      <c r="C793" s="139"/>
    </row>
    <row r="794" spans="1:3" ht="15.75">
      <c r="A794" s="137"/>
      <c r="B794" s="138"/>
      <c r="C794" s="139"/>
    </row>
    <row r="795" spans="1:7" ht="31.5">
      <c r="A795" s="204" t="str">
        <f>'Анализ стоимости'!$I$37</f>
        <v>Глава Сергиевского сельского поселения Кореновского района</v>
      </c>
      <c r="B795" s="205"/>
      <c r="C795" s="141" t="str">
        <f>CONCATENATE("_____________________ ",'Анализ стоимости'!$I$38)</f>
        <v>_____________________ С.А. Басеев </v>
      </c>
      <c r="G795" s="164" t="str">
        <f>A795</f>
        <v>Глава Сергиевского сельского поселения Кореновского района</v>
      </c>
    </row>
    <row r="796" spans="1:7" s="153" customFormat="1" ht="15.75">
      <c r="A796" s="96"/>
      <c r="B796" s="144"/>
      <c r="C796" s="96"/>
      <c r="F796" s="154"/>
      <c r="G796" s="165"/>
    </row>
    <row r="797" spans="1:7" s="153" customFormat="1" ht="15.75">
      <c r="A797" s="196"/>
      <c r="B797" s="196"/>
      <c r="C797" s="94"/>
      <c r="F797" s="154"/>
      <c r="G797" s="165"/>
    </row>
    <row r="798" spans="1:3" ht="15.75">
      <c r="A798" s="196"/>
      <c r="B798" s="196"/>
      <c r="C798" s="94"/>
    </row>
    <row r="799" spans="1:3" ht="18.75">
      <c r="A799" s="207" t="s">
        <v>35</v>
      </c>
      <c r="B799" s="207"/>
      <c r="C799" s="207"/>
    </row>
    <row r="800" spans="1:6" ht="63">
      <c r="A800" s="206" t="str">
        <f>F800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800" s="206"/>
      <c r="C800" s="206"/>
      <c r="F80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801" spans="1:6" ht="15.75">
      <c r="A801" s="206" t="str">
        <f>F801</f>
        <v>Наименование объекта: </v>
      </c>
      <c r="B801" s="206"/>
      <c r="C801" s="206"/>
      <c r="F801" s="146" t="str">
        <f>CONCATENATE("Наименование объекта: ",VLOOKUP($E$26,'Анализ стоимости'!$A$4:$DF$38,9,0))</f>
        <v>Наименование объекта: </v>
      </c>
    </row>
    <row r="802" spans="1:5" ht="15.75">
      <c r="A802" s="196" t="s">
        <v>53</v>
      </c>
      <c r="B802" s="196"/>
      <c r="C802" s="196"/>
      <c r="E802" s="147"/>
    </row>
    <row r="803" spans="1:3" ht="15.75">
      <c r="A803" s="197" t="s">
        <v>109</v>
      </c>
      <c r="B803" s="197"/>
      <c r="C803" s="197"/>
    </row>
    <row r="804" spans="1:3" ht="15.75">
      <c r="A804" s="197" t="str">
        <f>CONCATENATE("учетом сроков строительства и НДС: ",FIXED(C834,0)," руб.")</f>
        <v>учетом сроков строительства и НДС: 0 руб.</v>
      </c>
      <c r="B804" s="197"/>
      <c r="C804" s="97"/>
    </row>
    <row r="805" spans="1:7" s="104" customFormat="1" ht="7.5" thickBot="1">
      <c r="A805" s="148"/>
      <c r="B805" s="149"/>
      <c r="C805" s="148"/>
      <c r="F805" s="150"/>
      <c r="G805" s="162"/>
    </row>
    <row r="806" spans="1:3" ht="17.25" thickBot="1" thickTop="1">
      <c r="A806" s="198" t="s">
        <v>54</v>
      </c>
      <c r="B806" s="199"/>
      <c r="C806" s="200"/>
    </row>
    <row r="807" spans="1:3" ht="39" thickBot="1">
      <c r="A807" s="107" t="s">
        <v>28</v>
      </c>
      <c r="B807" s="108" t="s">
        <v>58</v>
      </c>
      <c r="C807" s="107" t="s">
        <v>141</v>
      </c>
    </row>
    <row r="808" spans="1:3" ht="15.75">
      <c r="A808" s="110">
        <v>1</v>
      </c>
      <c r="B808" s="111" t="s">
        <v>42</v>
      </c>
      <c r="C808" s="112">
        <f>VLOOKUP($E$26,'Анализ стоимости'!$A$4:$DF$38,11,0)</f>
        <v>0</v>
      </c>
    </row>
    <row r="809" spans="1:3" ht="15.75">
      <c r="A809" s="113">
        <v>2</v>
      </c>
      <c r="B809" s="114" t="s">
        <v>65</v>
      </c>
      <c r="C809" s="115">
        <f>VLOOKUP($E$26,'Анализ стоимости'!$A$4:$DF$38,12,0)</f>
        <v>0</v>
      </c>
    </row>
    <row r="810" spans="1:3" ht="31.5">
      <c r="A810" s="113">
        <v>3</v>
      </c>
      <c r="B810" s="114" t="s">
        <v>75</v>
      </c>
      <c r="C810" s="115">
        <f>VLOOKUP($E$26,'Анализ стоимости'!$A$4:$DF$38,13,0)</f>
        <v>0</v>
      </c>
    </row>
    <row r="811" spans="1:3" ht="15.75">
      <c r="A811" s="113">
        <v>4</v>
      </c>
      <c r="B811" s="114" t="s">
        <v>66</v>
      </c>
      <c r="C811" s="115">
        <f>VLOOKUP($E$26,'Анализ стоимости'!$A$4:$DF$38,14,0)</f>
        <v>0</v>
      </c>
    </row>
    <row r="812" spans="1:3" ht="15.75">
      <c r="A812" s="113">
        <v>5</v>
      </c>
      <c r="B812" s="114" t="s">
        <v>76</v>
      </c>
      <c r="C812" s="115">
        <f>VLOOKUP($E$26,'Анализ стоимости'!$A$4:$DF$38,15,0)</f>
        <v>0</v>
      </c>
    </row>
    <row r="813" spans="1:3" ht="15.75">
      <c r="A813" s="113">
        <v>6</v>
      </c>
      <c r="B813" s="114" t="s">
        <v>33</v>
      </c>
      <c r="C813" s="115">
        <f>VLOOKUP($E$26,'Анализ стоимости'!$A$4:$DF$38,19,0)</f>
        <v>0</v>
      </c>
    </row>
    <row r="814" spans="1:3" ht="15.75">
      <c r="A814" s="113">
        <v>7</v>
      </c>
      <c r="B814" s="114" t="s">
        <v>51</v>
      </c>
      <c r="C814" s="115">
        <f>VLOOKUP($E$26,'Анализ стоимости'!$A$4:$DF$38,20,0)+VLOOKUP($E$26,'Анализ стоимости'!$A$4:$DF$38,22,0)+VLOOKUP($E$26,'Анализ стоимости'!$A$4:$DF$38,23,0)+VLOOKUP($E$26,'Анализ стоимости'!$A$4:$DF$38,24,0)+VLOOKUP($E$26,'Анализ стоимости'!$A$4:$DF$38,25,0)+VLOOKUP($E$26,'Анализ стоимости'!$A$4:$DF$38,26,0)+VLOOKUP($E$26,'Анализ стоимости'!$A$4:$DF$38,27,0)+VLOOKUP($E$26,'Анализ стоимости'!$A$4:$DF$38,28,0)+VLOOKUP($E$26,'Анализ стоимости'!$A$4:$DF$38,33,0)</f>
        <v>0</v>
      </c>
    </row>
    <row r="815" spans="1:9" ht="16.5" thickBot="1">
      <c r="A815" s="116"/>
      <c r="B815" s="117" t="s">
        <v>69</v>
      </c>
      <c r="C815" s="118">
        <f>SUM(C808:C814)</f>
        <v>0</v>
      </c>
      <c r="H815" s="109"/>
      <c r="I815" s="109"/>
    </row>
    <row r="816" spans="1:3" ht="16.5" thickBot="1">
      <c r="A816" s="201" t="s">
        <v>59</v>
      </c>
      <c r="B816" s="202"/>
      <c r="C816" s="203"/>
    </row>
    <row r="817" spans="1:3" ht="26.25" thickBot="1">
      <c r="A817" s="119" t="s">
        <v>28</v>
      </c>
      <c r="B817" s="108" t="s">
        <v>38</v>
      </c>
      <c r="C817" s="107" t="s">
        <v>60</v>
      </c>
    </row>
    <row r="818" spans="1:3" ht="15.75">
      <c r="A818" s="120"/>
      <c r="B818" s="121" t="s">
        <v>111</v>
      </c>
      <c r="C818" s="122"/>
    </row>
    <row r="819" spans="1:3" ht="15.75">
      <c r="A819" s="120"/>
      <c r="B819" s="114" t="s">
        <v>39</v>
      </c>
      <c r="C819" s="123">
        <f>IF(VLOOKUP($E$26,'Анализ стоимости'!$A$4:$DF$38,65,0)=0,0,DATE(2012,VLOOKUP($E$26,'Анализ стоимости'!$A$4:$DF$38,65,0),15))</f>
        <v>40923</v>
      </c>
    </row>
    <row r="820" spans="1:3" ht="15.75">
      <c r="A820" s="120"/>
      <c r="B820" s="114" t="s">
        <v>31</v>
      </c>
      <c r="C820" s="123">
        <f>IF(C819=0,0,DATE(2012,VLOOKUP($E$26,'Анализ стоимости'!$A$4:$DF$38,66,0),15))</f>
        <v>41258</v>
      </c>
    </row>
    <row r="821" spans="1:3" ht="25.5">
      <c r="A821" s="120"/>
      <c r="B821" s="124" t="s">
        <v>104</v>
      </c>
      <c r="C821" s="125">
        <f>IF(C819=0,0,VLOOKUP($E$26,'Анализ стоимости'!$A$4:$DF$38,71,0)+1)</f>
        <v>1.0725</v>
      </c>
    </row>
    <row r="822" spans="1:3" ht="15.75">
      <c r="A822" s="120"/>
      <c r="B822" s="134" t="s">
        <v>112</v>
      </c>
      <c r="C822" s="127">
        <f>VLOOKUP($E$26,'Анализ стоимости'!$A$4:$DF$38,43,0)</f>
        <v>0</v>
      </c>
    </row>
    <row r="823" spans="1:3" ht="15.75">
      <c r="A823" s="120"/>
      <c r="B823" s="114" t="s">
        <v>32</v>
      </c>
      <c r="C823" s="115">
        <f>VLOOKUP($E$26,'Анализ стоимости'!$A$4:$DF$38,48,0)</f>
        <v>0</v>
      </c>
    </row>
    <row r="824" spans="1:5" ht="15.75">
      <c r="A824" s="120"/>
      <c r="B824" s="114" t="s">
        <v>82</v>
      </c>
      <c r="C824" s="115">
        <f>VLOOKUP($E$26,'Анализ стоимости'!$A$4:$DF$38,53,0)</f>
        <v>0</v>
      </c>
      <c r="E824" s="140">
        <f>VLOOKUP($E$26,'Анализ стоимости'!$A$4:$DF$38,73,0)</f>
        <v>0</v>
      </c>
    </row>
    <row r="825" spans="1:5" ht="16.5" thickBot="1">
      <c r="A825" s="128"/>
      <c r="B825" s="129" t="s">
        <v>140</v>
      </c>
      <c r="C825" s="130">
        <f>SUM(C822:C824)</f>
        <v>0</v>
      </c>
      <c r="E825" s="140">
        <f>VLOOKUP($E$26,'Анализ стоимости'!$A$4:$DF$38,64)</f>
        <v>0</v>
      </c>
    </row>
    <row r="826" spans="1:3" ht="15.75" hidden="1" outlineLevel="1">
      <c r="A826" s="131"/>
      <c r="B826" s="132" t="s">
        <v>136</v>
      </c>
      <c r="C826" s="133"/>
    </row>
    <row r="827" spans="1:3" ht="15.75" hidden="1" outlineLevel="1">
      <c r="A827" s="120"/>
      <c r="B827" s="114" t="s">
        <v>39</v>
      </c>
      <c r="C827" s="123">
        <f>IF(VLOOKUP($E$26,'Анализ стоимости'!$A$4:$DF$38,7,0)="да",IF(VLOOKUP($E$26,'Анализ стоимости'!$A$4:$DF$38,67,0)=0,0,DATE(2013,VLOOKUP($E$26,'Анализ стоимости'!$A$4:$DF$38,67,0),15)),0)</f>
        <v>0</v>
      </c>
    </row>
    <row r="828" spans="1:3" ht="15.75" hidden="1" outlineLevel="1">
      <c r="A828" s="120"/>
      <c r="B828" s="114" t="s">
        <v>31</v>
      </c>
      <c r="C828" s="123">
        <f>IF(C827=0,0,DATE(2013,VLOOKUP($E$26,'Анализ стоимости'!$A$4:$DF$38,68,0),15))</f>
        <v>0</v>
      </c>
    </row>
    <row r="829" spans="1:3" ht="25.5" hidden="1" outlineLevel="1">
      <c r="A829" s="120"/>
      <c r="B829" s="124" t="s">
        <v>104</v>
      </c>
      <c r="C829" s="125">
        <f>IF(C827=0,0,VLOOKUP($E$26,'Анализ стоимости'!$A$4:$DF$38,72,0)+1)</f>
        <v>0</v>
      </c>
    </row>
    <row r="830" spans="1:3" ht="15.75" hidden="1" outlineLevel="1">
      <c r="A830" s="120"/>
      <c r="B830" s="134" t="s">
        <v>137</v>
      </c>
      <c r="C830" s="115">
        <f>C815-C822</f>
        <v>0</v>
      </c>
    </row>
    <row r="831" spans="1:3" ht="15.75" hidden="1" outlineLevel="1">
      <c r="A831" s="120"/>
      <c r="B831" s="114" t="s">
        <v>32</v>
      </c>
      <c r="C831" s="115">
        <f>VLOOKUP($E$26,'Анализ стоимости'!$A$4:$DF$38,58,0)</f>
        <v>0</v>
      </c>
    </row>
    <row r="832" spans="1:3" ht="15.75" hidden="1" outlineLevel="1">
      <c r="A832" s="120"/>
      <c r="B832" s="114" t="s">
        <v>82</v>
      </c>
      <c r="C832" s="115">
        <f>VLOOKUP($E$26,'Анализ стоимости'!$A$4:$DF$38,63,0)</f>
        <v>0</v>
      </c>
    </row>
    <row r="833" spans="1:3" ht="16.5" hidden="1" outlineLevel="1" thickBot="1">
      <c r="A833" s="128"/>
      <c r="B833" s="129" t="s">
        <v>138</v>
      </c>
      <c r="C833" s="130">
        <f>SUM(C830:C832)</f>
        <v>0</v>
      </c>
    </row>
    <row r="834" spans="1:5" ht="16.5" hidden="1" outlineLevel="1" collapsed="1" thickBot="1">
      <c r="A834" s="135"/>
      <c r="B834" s="136" t="s">
        <v>70</v>
      </c>
      <c r="C834" s="151">
        <f>ROUND(C825+C833,0)</f>
        <v>0</v>
      </c>
      <c r="E834" s="152">
        <f>IF(E$26=0,0,C834)</f>
        <v>0</v>
      </c>
    </row>
    <row r="835" spans="1:3" ht="15.75" collapsed="1">
      <c r="A835" s="137"/>
      <c r="B835" s="138"/>
      <c r="C835" s="139"/>
    </row>
    <row r="836" spans="1:3" ht="15.75">
      <c r="A836" s="137"/>
      <c r="B836" s="138"/>
      <c r="C836" s="139"/>
    </row>
    <row r="837" spans="1:7" ht="31.5">
      <c r="A837" s="204" t="str">
        <f>'Анализ стоимости'!$I$37</f>
        <v>Глава Сергиевского сельского поселения Кореновского района</v>
      </c>
      <c r="B837" s="205"/>
      <c r="C837" s="141" t="str">
        <f>CONCATENATE("_____________________ ",'Анализ стоимости'!$I$38)</f>
        <v>_____________________ С.А. Басеев </v>
      </c>
      <c r="G837" s="164" t="str">
        <f>A837</f>
        <v>Глава Сергиевского сельского поселения Кореновского района</v>
      </c>
    </row>
    <row r="838" spans="1:7" s="153" customFormat="1" ht="15.75">
      <c r="A838" s="96"/>
      <c r="B838" s="144"/>
      <c r="C838" s="96"/>
      <c r="F838" s="154"/>
      <c r="G838" s="165"/>
    </row>
    <row r="839" spans="1:7" s="153" customFormat="1" ht="15.75">
      <c r="A839" s="196"/>
      <c r="B839" s="196"/>
      <c r="C839" s="94"/>
      <c r="F839" s="154"/>
      <c r="G839" s="165"/>
    </row>
    <row r="840" spans="1:3" ht="15.75">
      <c r="A840" s="196"/>
      <c r="B840" s="196"/>
      <c r="C840" s="94"/>
    </row>
    <row r="841" spans="1:3" ht="18.75">
      <c r="A841" s="207" t="s">
        <v>35</v>
      </c>
      <c r="B841" s="207"/>
      <c r="C841" s="207"/>
    </row>
    <row r="842" spans="1:6" ht="63">
      <c r="A842" s="206" t="str">
        <f>F842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842" s="206"/>
      <c r="C842" s="206"/>
      <c r="F84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843" spans="1:6" ht="15.75">
      <c r="A843" s="206" t="str">
        <f>F843</f>
        <v>Наименование объекта: </v>
      </c>
      <c r="B843" s="206"/>
      <c r="C843" s="206"/>
      <c r="F843" s="146" t="str">
        <f>CONCATENATE("Наименование объекта: ",VLOOKUP($E$27,'Анализ стоимости'!$A$4:$DF$38,9,0))</f>
        <v>Наименование объекта: </v>
      </c>
    </row>
    <row r="844" spans="1:5" ht="15.75">
      <c r="A844" s="196" t="s">
        <v>53</v>
      </c>
      <c r="B844" s="196"/>
      <c r="C844" s="196"/>
      <c r="E844" s="147"/>
    </row>
    <row r="845" spans="1:3" ht="15.75">
      <c r="A845" s="197" t="s">
        <v>109</v>
      </c>
      <c r="B845" s="197"/>
      <c r="C845" s="197"/>
    </row>
    <row r="846" spans="1:3" ht="15.75">
      <c r="A846" s="197" t="str">
        <f>CONCATENATE("учетом сроков строительства и НДС: ",FIXED(C876,0)," руб.")</f>
        <v>учетом сроков строительства и НДС: 0 руб.</v>
      </c>
      <c r="B846" s="197"/>
      <c r="C846" s="97"/>
    </row>
    <row r="847" spans="1:7" s="104" customFormat="1" ht="7.5" thickBot="1">
      <c r="A847" s="148"/>
      <c r="B847" s="149"/>
      <c r="C847" s="148"/>
      <c r="F847" s="150"/>
      <c r="G847" s="162"/>
    </row>
    <row r="848" spans="1:3" ht="17.25" thickBot="1" thickTop="1">
      <c r="A848" s="198" t="s">
        <v>54</v>
      </c>
      <c r="B848" s="199"/>
      <c r="C848" s="200"/>
    </row>
    <row r="849" spans="1:3" ht="39" thickBot="1">
      <c r="A849" s="107" t="s">
        <v>28</v>
      </c>
      <c r="B849" s="108" t="s">
        <v>58</v>
      </c>
      <c r="C849" s="107" t="s">
        <v>141</v>
      </c>
    </row>
    <row r="850" spans="1:3" ht="15.75">
      <c r="A850" s="110">
        <v>1</v>
      </c>
      <c r="B850" s="111" t="s">
        <v>42</v>
      </c>
      <c r="C850" s="112">
        <f>VLOOKUP($E$27,'Анализ стоимости'!$A$4:$DF$38,11,0)</f>
        <v>0</v>
      </c>
    </row>
    <row r="851" spans="1:3" ht="15.75">
      <c r="A851" s="113">
        <v>2</v>
      </c>
      <c r="B851" s="114" t="s">
        <v>65</v>
      </c>
      <c r="C851" s="115">
        <f>VLOOKUP($E$27,'Анализ стоимости'!$A$4:$DF$38,12,0)</f>
        <v>0</v>
      </c>
    </row>
    <row r="852" spans="1:3" ht="31.5">
      <c r="A852" s="113">
        <v>3</v>
      </c>
      <c r="B852" s="114" t="s">
        <v>75</v>
      </c>
      <c r="C852" s="115">
        <f>VLOOKUP($E$27,'Анализ стоимости'!$A$4:$DF$38,13,0)</f>
        <v>0</v>
      </c>
    </row>
    <row r="853" spans="1:3" ht="15.75">
      <c r="A853" s="113">
        <v>4</v>
      </c>
      <c r="B853" s="114" t="s">
        <v>66</v>
      </c>
      <c r="C853" s="115">
        <f>VLOOKUP($E$27,'Анализ стоимости'!$A$4:$DF$38,14,0)</f>
        <v>0</v>
      </c>
    </row>
    <row r="854" spans="1:3" ht="15.75">
      <c r="A854" s="113">
        <v>5</v>
      </c>
      <c r="B854" s="114" t="s">
        <v>76</v>
      </c>
      <c r="C854" s="115">
        <f>VLOOKUP($E$27,'Анализ стоимости'!$A$4:$DF$38,15,0)</f>
        <v>0</v>
      </c>
    </row>
    <row r="855" spans="1:3" ht="15.75">
      <c r="A855" s="113">
        <v>6</v>
      </c>
      <c r="B855" s="114" t="s">
        <v>33</v>
      </c>
      <c r="C855" s="115">
        <f>VLOOKUP($E$27,'Анализ стоимости'!$A$4:$DF$38,19,0)</f>
        <v>0</v>
      </c>
    </row>
    <row r="856" spans="1:3" ht="15.75">
      <c r="A856" s="113">
        <v>7</v>
      </c>
      <c r="B856" s="114" t="s">
        <v>51</v>
      </c>
      <c r="C856" s="115">
        <f>VLOOKUP($E$27,'Анализ стоимости'!$A$4:$DF$38,20,0)+VLOOKUP($E$27,'Анализ стоимости'!$A$4:$DF$38,22,0)+VLOOKUP($E$27,'Анализ стоимости'!$A$4:$DF$38,23,0)+VLOOKUP($E$27,'Анализ стоимости'!$A$4:$DF$38,24,0)+VLOOKUP($E$27,'Анализ стоимости'!$A$4:$DF$38,25,0)+VLOOKUP($E$27,'Анализ стоимости'!$A$4:$DF$38,26,0)+VLOOKUP($E$27,'Анализ стоимости'!$A$4:$DF$38,27,0)+VLOOKUP($E$27,'Анализ стоимости'!$A$4:$DF$38,28,0)+VLOOKUP($E$27,'Анализ стоимости'!$A$4:$DF$38,33,0)</f>
        <v>0</v>
      </c>
    </row>
    <row r="857" spans="1:9" ht="16.5" thickBot="1">
      <c r="A857" s="116"/>
      <c r="B857" s="117" t="s">
        <v>69</v>
      </c>
      <c r="C857" s="118">
        <f>SUM(C850:C856)</f>
        <v>0</v>
      </c>
      <c r="H857" s="109"/>
      <c r="I857" s="109"/>
    </row>
    <row r="858" spans="1:3" ht="16.5" thickBot="1">
      <c r="A858" s="201" t="s">
        <v>59</v>
      </c>
      <c r="B858" s="202"/>
      <c r="C858" s="203"/>
    </row>
    <row r="859" spans="1:3" ht="26.25" thickBot="1">
      <c r="A859" s="119" t="s">
        <v>28</v>
      </c>
      <c r="B859" s="108" t="s">
        <v>38</v>
      </c>
      <c r="C859" s="107" t="s">
        <v>60</v>
      </c>
    </row>
    <row r="860" spans="1:3" ht="15.75">
      <c r="A860" s="120"/>
      <c r="B860" s="121" t="s">
        <v>111</v>
      </c>
      <c r="C860" s="122"/>
    </row>
    <row r="861" spans="1:3" ht="15.75">
      <c r="A861" s="120"/>
      <c r="B861" s="114" t="s">
        <v>39</v>
      </c>
      <c r="C861" s="123">
        <f>IF(VLOOKUP($E$27,'Анализ стоимости'!$A$4:$DF$38,65,0)=0,0,DATE(2012,VLOOKUP($E$27,'Анализ стоимости'!$A$4:$DF$38,65,0),15))</f>
        <v>40923</v>
      </c>
    </row>
    <row r="862" spans="1:3" ht="15.75">
      <c r="A862" s="120"/>
      <c r="B862" s="114" t="s">
        <v>31</v>
      </c>
      <c r="C862" s="123">
        <f>IF(C861=0,0,DATE(2012,VLOOKUP($E$27,'Анализ стоимости'!$A$4:$DF$38,66,0),15))</f>
        <v>41258</v>
      </c>
    </row>
    <row r="863" spans="1:3" ht="25.5">
      <c r="A863" s="120"/>
      <c r="B863" s="124" t="s">
        <v>104</v>
      </c>
      <c r="C863" s="125">
        <f>IF(C861=0,0,VLOOKUP($E$27,'Анализ стоимости'!$A$4:$DF$38,71,0)+1)</f>
        <v>1.0725</v>
      </c>
    </row>
    <row r="864" spans="1:3" ht="15.75">
      <c r="A864" s="120"/>
      <c r="B864" s="134" t="s">
        <v>112</v>
      </c>
      <c r="C864" s="127">
        <f>VLOOKUP($E$27,'Анализ стоимости'!$A$4:$DF$38,43,0)</f>
        <v>0</v>
      </c>
    </row>
    <row r="865" spans="1:3" ht="15.75">
      <c r="A865" s="120"/>
      <c r="B865" s="114" t="s">
        <v>32</v>
      </c>
      <c r="C865" s="115">
        <f>VLOOKUP($E$27,'Анализ стоимости'!$A$4:$DF$38,48,0)</f>
        <v>0</v>
      </c>
    </row>
    <row r="866" spans="1:5" ht="15.75">
      <c r="A866" s="120"/>
      <c r="B866" s="114" t="s">
        <v>82</v>
      </c>
      <c r="C866" s="115">
        <f>VLOOKUP($E$27,'Анализ стоимости'!$A$4:$DF$38,53,0)</f>
        <v>0</v>
      </c>
      <c r="E866" s="140">
        <f>VLOOKUP($E$27,'Анализ стоимости'!$A$4:$DF$38,73,0)</f>
        <v>0</v>
      </c>
    </row>
    <row r="867" spans="1:5" ht="16.5" thickBot="1">
      <c r="A867" s="128"/>
      <c r="B867" s="129" t="s">
        <v>140</v>
      </c>
      <c r="C867" s="130">
        <f>SUM(C864:C866)</f>
        <v>0</v>
      </c>
      <c r="E867" s="140">
        <f>VLOOKUP($E$27,'Анализ стоимости'!$A$4:$DF$38,64)</f>
        <v>0</v>
      </c>
    </row>
    <row r="868" spans="1:3" ht="15.75" hidden="1" outlineLevel="1">
      <c r="A868" s="131"/>
      <c r="B868" s="132" t="s">
        <v>136</v>
      </c>
      <c r="C868" s="133"/>
    </row>
    <row r="869" spans="1:3" ht="15.75" hidden="1" outlineLevel="1">
      <c r="A869" s="120"/>
      <c r="B869" s="114" t="s">
        <v>39</v>
      </c>
      <c r="C869" s="123">
        <f>IF(VLOOKUP($E$27,'Анализ стоимости'!$A$4:$DF$38,7,0)="да",IF(VLOOKUP($E$27,'Анализ стоимости'!$A$4:$DF$38,67,0)=0,0,DATE(2013,VLOOKUP($E$27,'Анализ стоимости'!$A$4:$DF$38,67,0),15)),0)</f>
        <v>0</v>
      </c>
    </row>
    <row r="870" spans="1:3" ht="15.75" hidden="1" outlineLevel="1">
      <c r="A870" s="120"/>
      <c r="B870" s="114" t="s">
        <v>31</v>
      </c>
      <c r="C870" s="123">
        <f>IF(C869=0,0,DATE(2013,VLOOKUP($E$27,'Анализ стоимости'!$A$4:$DF$38,68,0),15))</f>
        <v>0</v>
      </c>
    </row>
    <row r="871" spans="1:3" ht="25.5" hidden="1" outlineLevel="1">
      <c r="A871" s="120"/>
      <c r="B871" s="124" t="s">
        <v>104</v>
      </c>
      <c r="C871" s="125">
        <f>IF(C869=0,0,VLOOKUP($E$27,'Анализ стоимости'!$A$4:$DF$38,72,0)+1)</f>
        <v>0</v>
      </c>
    </row>
    <row r="872" spans="1:3" ht="15.75" hidden="1" outlineLevel="1">
      <c r="A872" s="120"/>
      <c r="B872" s="134" t="s">
        <v>137</v>
      </c>
      <c r="C872" s="115">
        <f>C857-C864</f>
        <v>0</v>
      </c>
    </row>
    <row r="873" spans="1:3" ht="15.75" hidden="1" outlineLevel="1">
      <c r="A873" s="120"/>
      <c r="B873" s="114" t="s">
        <v>32</v>
      </c>
      <c r="C873" s="115">
        <f>VLOOKUP($E$27,'Анализ стоимости'!$A$4:$DF$38,58,0)</f>
        <v>0</v>
      </c>
    </row>
    <row r="874" spans="1:3" ht="15.75" hidden="1" outlineLevel="1">
      <c r="A874" s="120"/>
      <c r="B874" s="114" t="s">
        <v>82</v>
      </c>
      <c r="C874" s="115">
        <f>VLOOKUP($E$27,'Анализ стоимости'!$A$4:$DF$38,63,0)</f>
        <v>0</v>
      </c>
    </row>
    <row r="875" spans="1:3" ht="16.5" hidden="1" outlineLevel="1" thickBot="1">
      <c r="A875" s="128"/>
      <c r="B875" s="129" t="s">
        <v>138</v>
      </c>
      <c r="C875" s="130">
        <f>SUM(C872:C874)</f>
        <v>0</v>
      </c>
    </row>
    <row r="876" spans="1:5" ht="16.5" hidden="1" outlineLevel="1" collapsed="1" thickBot="1">
      <c r="A876" s="135"/>
      <c r="B876" s="136" t="s">
        <v>70</v>
      </c>
      <c r="C876" s="151">
        <f>ROUND(C867+C875,0)</f>
        <v>0</v>
      </c>
      <c r="E876" s="152">
        <f>IF(E$27=0,0,C876)</f>
        <v>0</v>
      </c>
    </row>
    <row r="877" spans="1:3" ht="15.75" collapsed="1">
      <c r="A877" s="137"/>
      <c r="B877" s="138"/>
      <c r="C877" s="139"/>
    </row>
    <row r="878" spans="1:3" ht="15.75">
      <c r="A878" s="137"/>
      <c r="B878" s="138"/>
      <c r="C878" s="139"/>
    </row>
    <row r="879" spans="1:7" ht="31.5">
      <c r="A879" s="204" t="str">
        <f>'Анализ стоимости'!$I$37</f>
        <v>Глава Сергиевского сельского поселения Кореновского района</v>
      </c>
      <c r="B879" s="205"/>
      <c r="C879" s="141" t="str">
        <f>CONCATENATE("_____________________ ",'Анализ стоимости'!$I$38)</f>
        <v>_____________________ С.А. Басеев </v>
      </c>
      <c r="G879" s="164" t="str">
        <f>A879</f>
        <v>Глава Сергиевского сельского поселения Кореновского района</v>
      </c>
    </row>
    <row r="880" spans="1:7" s="153" customFormat="1" ht="15.75">
      <c r="A880" s="96"/>
      <c r="B880" s="144"/>
      <c r="C880" s="96"/>
      <c r="F880" s="154"/>
      <c r="G880" s="165"/>
    </row>
    <row r="881" spans="1:7" s="153" customFormat="1" ht="15.75">
      <c r="A881" s="196"/>
      <c r="B881" s="196"/>
      <c r="C881" s="94"/>
      <c r="F881" s="154"/>
      <c r="G881" s="165"/>
    </row>
    <row r="882" spans="1:3" ht="15.75">
      <c r="A882" s="196"/>
      <c r="B882" s="196"/>
      <c r="C882" s="94"/>
    </row>
    <row r="883" spans="1:3" ht="18.75">
      <c r="A883" s="207" t="s">
        <v>35</v>
      </c>
      <c r="B883" s="207"/>
      <c r="C883" s="207"/>
    </row>
    <row r="884" spans="1:6" ht="63">
      <c r="A884" s="206" t="str">
        <f>F884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884" s="206"/>
      <c r="C884" s="206"/>
      <c r="F88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885" spans="1:6" ht="15.75">
      <c r="A885" s="206" t="str">
        <f>F885</f>
        <v>Наименование объекта: </v>
      </c>
      <c r="B885" s="206"/>
      <c r="C885" s="206"/>
      <c r="F885" s="146" t="str">
        <f>CONCATENATE("Наименование объекта: ",VLOOKUP($E$37,'Анализ стоимости'!$A$4:$DF$38,9,0))</f>
        <v>Наименование объекта: </v>
      </c>
    </row>
    <row r="886" spans="1:5" ht="15.75">
      <c r="A886" s="196" t="s">
        <v>53</v>
      </c>
      <c r="B886" s="196"/>
      <c r="C886" s="196"/>
      <c r="E886" s="147"/>
    </row>
    <row r="887" spans="1:3" ht="15.75">
      <c r="A887" s="197" t="s">
        <v>109</v>
      </c>
      <c r="B887" s="197"/>
      <c r="C887" s="197"/>
    </row>
    <row r="888" spans="1:3" ht="15.75">
      <c r="A888" s="197" t="str">
        <f>CONCATENATE("учетом сроков строительства и НДС: ",FIXED(C918,0)," руб.")</f>
        <v>учетом сроков строительства и НДС: 0 руб.</v>
      </c>
      <c r="B888" s="197"/>
      <c r="C888" s="97"/>
    </row>
    <row r="889" spans="1:7" s="104" customFormat="1" ht="7.5" thickBot="1">
      <c r="A889" s="148"/>
      <c r="B889" s="149"/>
      <c r="C889" s="148"/>
      <c r="F889" s="150"/>
      <c r="G889" s="162"/>
    </row>
    <row r="890" spans="1:3" ht="17.25" thickBot="1" thickTop="1">
      <c r="A890" s="198" t="s">
        <v>54</v>
      </c>
      <c r="B890" s="199"/>
      <c r="C890" s="200"/>
    </row>
    <row r="891" spans="1:3" ht="39" thickBot="1">
      <c r="A891" s="107" t="s">
        <v>28</v>
      </c>
      <c r="B891" s="108" t="s">
        <v>58</v>
      </c>
      <c r="C891" s="107" t="s">
        <v>141</v>
      </c>
    </row>
    <row r="892" spans="1:3" ht="15.75">
      <c r="A892" s="110">
        <v>1</v>
      </c>
      <c r="B892" s="111" t="s">
        <v>42</v>
      </c>
      <c r="C892" s="112">
        <f>VLOOKUP($E$37,'Анализ стоимости'!$A$4:$DF$38,11,0)</f>
        <v>0</v>
      </c>
    </row>
    <row r="893" spans="1:3" ht="15.75">
      <c r="A893" s="113">
        <v>2</v>
      </c>
      <c r="B893" s="114" t="s">
        <v>65</v>
      </c>
      <c r="C893" s="115">
        <f>VLOOKUP($E$37,'Анализ стоимости'!$A$4:$DF$38,12,0)</f>
        <v>0</v>
      </c>
    </row>
    <row r="894" spans="1:3" ht="31.5">
      <c r="A894" s="113">
        <v>3</v>
      </c>
      <c r="B894" s="114" t="s">
        <v>75</v>
      </c>
      <c r="C894" s="115">
        <f>VLOOKUP($E$37,'Анализ стоимости'!$A$4:$DF$38,13,0)</f>
        <v>0</v>
      </c>
    </row>
    <row r="895" spans="1:3" ht="15.75">
      <c r="A895" s="113">
        <v>4</v>
      </c>
      <c r="B895" s="114" t="s">
        <v>66</v>
      </c>
      <c r="C895" s="115">
        <f>VLOOKUP($E$37,'Анализ стоимости'!$A$4:$DF$38,14,0)</f>
        <v>0</v>
      </c>
    </row>
    <row r="896" spans="1:3" ht="15.75">
      <c r="A896" s="113">
        <v>5</v>
      </c>
      <c r="B896" s="114" t="s">
        <v>76</v>
      </c>
      <c r="C896" s="115">
        <f>VLOOKUP($E$37,'Анализ стоимости'!$A$4:$DF$38,15,0)</f>
        <v>0</v>
      </c>
    </row>
    <row r="897" spans="1:3" ht="15.75">
      <c r="A897" s="113">
        <v>6</v>
      </c>
      <c r="B897" s="114" t="s">
        <v>33</v>
      </c>
      <c r="C897" s="115">
        <f>VLOOKUP($E$37,'Анализ стоимости'!$A$4:$DF$38,19,0)</f>
        <v>0</v>
      </c>
    </row>
    <row r="898" spans="1:3" ht="15.75">
      <c r="A898" s="113">
        <v>7</v>
      </c>
      <c r="B898" s="114" t="s">
        <v>51</v>
      </c>
      <c r="C898" s="115">
        <f>VLOOKUP($E$37,'Анализ стоимости'!$A$4:$DF$38,20,0)+VLOOKUP($E$37,'Анализ стоимости'!$A$4:$DF$38,22,0)+VLOOKUP($E$37,'Анализ стоимости'!$A$4:$DF$38,23,0)+VLOOKUP($E$37,'Анализ стоимости'!$A$4:$DF$38,24,0)+VLOOKUP($E$37,'Анализ стоимости'!$A$4:$DF$38,25,0)+VLOOKUP($E$37,'Анализ стоимости'!$A$4:$DF$38,26,0)+VLOOKUP($E$37,'Анализ стоимости'!$A$4:$DF$38,27,0)+VLOOKUP($E$37,'Анализ стоимости'!$A$4:$DF$38,28,0)+VLOOKUP($E$37,'Анализ стоимости'!$A$4:$DF$38,33,0)</f>
        <v>0</v>
      </c>
    </row>
    <row r="899" spans="1:9" ht="16.5" thickBot="1">
      <c r="A899" s="116"/>
      <c r="B899" s="117" t="s">
        <v>69</v>
      </c>
      <c r="C899" s="118">
        <f>SUM(C892:C898)</f>
        <v>0</v>
      </c>
      <c r="H899" s="109"/>
      <c r="I899" s="109"/>
    </row>
    <row r="900" spans="1:3" ht="16.5" thickBot="1">
      <c r="A900" s="201" t="s">
        <v>59</v>
      </c>
      <c r="B900" s="202"/>
      <c r="C900" s="203"/>
    </row>
    <row r="901" spans="1:3" ht="26.25" thickBot="1">
      <c r="A901" s="119" t="s">
        <v>28</v>
      </c>
      <c r="B901" s="108" t="s">
        <v>38</v>
      </c>
      <c r="C901" s="107" t="s">
        <v>60</v>
      </c>
    </row>
    <row r="902" spans="1:3" ht="15.75">
      <c r="A902" s="120"/>
      <c r="B902" s="121" t="s">
        <v>111</v>
      </c>
      <c r="C902" s="122"/>
    </row>
    <row r="903" spans="1:3" ht="15.75">
      <c r="A903" s="120"/>
      <c r="B903" s="114" t="s">
        <v>39</v>
      </c>
      <c r="C903" s="123">
        <f>IF(VLOOKUP($E$37,'Анализ стоимости'!$A$4:$DF$38,65,0)=0,0,DATE(2012,VLOOKUP($E$37,'Анализ стоимости'!$A$4:$DF$38,65,0),15))</f>
        <v>40923</v>
      </c>
    </row>
    <row r="904" spans="1:3" ht="15.75">
      <c r="A904" s="120"/>
      <c r="B904" s="114" t="s">
        <v>31</v>
      </c>
      <c r="C904" s="123">
        <f>IF(C903=0,0,DATE(2012,VLOOKUP($E$37,'Анализ стоимости'!$A$4:$DF$38,66,0),15))</f>
        <v>41258</v>
      </c>
    </row>
    <row r="905" spans="1:3" ht="25.5">
      <c r="A905" s="120"/>
      <c r="B905" s="124" t="s">
        <v>104</v>
      </c>
      <c r="C905" s="125">
        <f>IF(C903=0,0,VLOOKUP($E$37,'Анализ стоимости'!$A$4:$DF$38,71,0)+1)</f>
        <v>1.0725</v>
      </c>
    </row>
    <row r="906" spans="1:3" ht="15.75">
      <c r="A906" s="120"/>
      <c r="B906" s="134" t="s">
        <v>112</v>
      </c>
      <c r="C906" s="127">
        <f>VLOOKUP($E$37,'Анализ стоимости'!$A$4:$DF$38,43,0)</f>
        <v>0</v>
      </c>
    </row>
    <row r="907" spans="1:3" ht="15.75">
      <c r="A907" s="120"/>
      <c r="B907" s="114" t="s">
        <v>32</v>
      </c>
      <c r="C907" s="115">
        <f>VLOOKUP($E$37,'Анализ стоимости'!$A$4:$DF$38,48,0)</f>
        <v>0</v>
      </c>
    </row>
    <row r="908" spans="1:5" ht="15.75">
      <c r="A908" s="120"/>
      <c r="B908" s="114" t="s">
        <v>82</v>
      </c>
      <c r="C908" s="115">
        <f>VLOOKUP($E$37,'Анализ стоимости'!$A$4:$DF$38,53,0)</f>
        <v>0</v>
      </c>
      <c r="E908" s="140">
        <f>VLOOKUP($E$37,'Анализ стоимости'!$A$4:$DF$38,73,0)</f>
        <v>0</v>
      </c>
    </row>
    <row r="909" spans="1:5" ht="16.5" thickBot="1">
      <c r="A909" s="128"/>
      <c r="B909" s="129" t="s">
        <v>140</v>
      </c>
      <c r="C909" s="130">
        <f>SUM(C906:C908)</f>
        <v>0</v>
      </c>
      <c r="E909" s="140">
        <f>VLOOKUP($E$37,'Анализ стоимости'!$A$4:$DF$38,64)</f>
        <v>0</v>
      </c>
    </row>
    <row r="910" spans="1:3" ht="15.75" hidden="1" outlineLevel="1">
      <c r="A910" s="131"/>
      <c r="B910" s="132" t="s">
        <v>136</v>
      </c>
      <c r="C910" s="133"/>
    </row>
    <row r="911" spans="1:3" ht="15.75" hidden="1" outlineLevel="1">
      <c r="A911" s="120"/>
      <c r="B911" s="114" t="s">
        <v>39</v>
      </c>
      <c r="C911" s="123">
        <f>IF(VLOOKUP($E$37,'Анализ стоимости'!$A$4:$DF$38,7,0)="да",IF(VLOOKUP($E$37,'Анализ стоимости'!$A$4:$DF$38,67,0)=0,0,DATE(2013,VLOOKUP($E$37,'Анализ стоимости'!$A$4:$DF$38,67,0),15)),0)</f>
        <v>0</v>
      </c>
    </row>
    <row r="912" spans="1:3" ht="15.75" hidden="1" outlineLevel="1">
      <c r="A912" s="120"/>
      <c r="B912" s="114" t="s">
        <v>31</v>
      </c>
      <c r="C912" s="123">
        <f>IF(C911=0,0,DATE(2013,VLOOKUP($E$37,'Анализ стоимости'!$A$4:$DF$38,68,0),15))</f>
        <v>0</v>
      </c>
    </row>
    <row r="913" spans="1:3" ht="25.5" hidden="1" outlineLevel="1">
      <c r="A913" s="120"/>
      <c r="B913" s="124" t="s">
        <v>104</v>
      </c>
      <c r="C913" s="125">
        <f>IF(C911=0,0,VLOOKUP($E$37,'Анализ стоимости'!$A$4:$DF$38,72,0)+1)</f>
        <v>0</v>
      </c>
    </row>
    <row r="914" spans="1:3" ht="15.75" hidden="1" outlineLevel="1">
      <c r="A914" s="120"/>
      <c r="B914" s="134" t="s">
        <v>137</v>
      </c>
      <c r="C914" s="115">
        <f>C899-C906</f>
        <v>0</v>
      </c>
    </row>
    <row r="915" spans="1:3" ht="15.75" hidden="1" outlineLevel="1">
      <c r="A915" s="120"/>
      <c r="B915" s="114" t="s">
        <v>32</v>
      </c>
      <c r="C915" s="115">
        <f>VLOOKUP($E$37,'Анализ стоимости'!$A$4:$DF$38,58,0)</f>
        <v>0</v>
      </c>
    </row>
    <row r="916" spans="1:3" ht="15.75" hidden="1" outlineLevel="1">
      <c r="A916" s="120"/>
      <c r="B916" s="114" t="s">
        <v>82</v>
      </c>
      <c r="C916" s="115">
        <f>VLOOKUP($E$37,'Анализ стоимости'!$A$4:$DF$38,63,0)</f>
        <v>0</v>
      </c>
    </row>
    <row r="917" spans="1:3" ht="16.5" hidden="1" outlineLevel="1" thickBot="1">
      <c r="A917" s="128"/>
      <c r="B917" s="129" t="s">
        <v>138</v>
      </c>
      <c r="C917" s="130">
        <f>SUM(C914:C916)</f>
        <v>0</v>
      </c>
    </row>
    <row r="918" spans="1:5" ht="16.5" hidden="1" outlineLevel="1" collapsed="1" thickBot="1">
      <c r="A918" s="135"/>
      <c r="B918" s="136" t="s">
        <v>70</v>
      </c>
      <c r="C918" s="151">
        <f>ROUND(C909+C917,0)</f>
        <v>0</v>
      </c>
      <c r="E918" s="152">
        <f>IF(E$37=0,0,C918)</f>
        <v>0</v>
      </c>
    </row>
    <row r="919" spans="1:3" ht="15.75" collapsed="1">
      <c r="A919" s="137"/>
      <c r="B919" s="138"/>
      <c r="C919" s="139"/>
    </row>
    <row r="920" spans="1:3" ht="15.75">
      <c r="A920" s="137"/>
      <c r="B920" s="138"/>
      <c r="C920" s="139"/>
    </row>
    <row r="921" spans="1:7" ht="31.5">
      <c r="A921" s="204" t="str">
        <f>'Анализ стоимости'!$I$37</f>
        <v>Глава Сергиевского сельского поселения Кореновского района</v>
      </c>
      <c r="B921" s="205"/>
      <c r="C921" s="141" t="str">
        <f>CONCATENATE("_____________________ ",'Анализ стоимости'!$I$38)</f>
        <v>_____________________ С.А. Басеев </v>
      </c>
      <c r="G921" s="164" t="str">
        <f>A921</f>
        <v>Глава Сергиевского сельского поселения Кореновского района</v>
      </c>
    </row>
    <row r="922" spans="1:7" s="153" customFormat="1" ht="15.75">
      <c r="A922" s="96"/>
      <c r="B922" s="144"/>
      <c r="C922" s="96"/>
      <c r="F922" s="154"/>
      <c r="G922" s="165"/>
    </row>
    <row r="923" spans="1:7" s="153" customFormat="1" ht="15.75">
      <c r="A923" s="196"/>
      <c r="B923" s="196"/>
      <c r="C923" s="94"/>
      <c r="F923" s="154"/>
      <c r="G923" s="165"/>
    </row>
    <row r="924" spans="1:3" ht="15.75">
      <c r="A924" s="196"/>
      <c r="B924" s="196"/>
      <c r="C924" s="94"/>
    </row>
    <row r="925" spans="1:3" ht="18.75">
      <c r="A925" s="207" t="s">
        <v>35</v>
      </c>
      <c r="B925" s="207"/>
      <c r="C925" s="207"/>
    </row>
    <row r="926" spans="1:6" ht="63">
      <c r="A926" s="206" t="str">
        <f>F926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926" s="206"/>
      <c r="C926" s="206"/>
      <c r="F92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927" spans="1:6" ht="15.75">
      <c r="A927" s="206" t="str">
        <f>F927</f>
        <v>Наименование объекта: </v>
      </c>
      <c r="B927" s="206"/>
      <c r="C927" s="206"/>
      <c r="F927" s="146" t="str">
        <f>CONCATENATE("Наименование объекта: ",VLOOKUP($E$38,'Анализ стоимости'!$A$4:$DF$38,9,0))</f>
        <v>Наименование объекта: </v>
      </c>
    </row>
    <row r="928" spans="1:5" ht="15.75">
      <c r="A928" s="196" t="s">
        <v>53</v>
      </c>
      <c r="B928" s="196"/>
      <c r="C928" s="196"/>
      <c r="E928" s="147"/>
    </row>
    <row r="929" spans="1:3" ht="15.75">
      <c r="A929" s="197" t="s">
        <v>109</v>
      </c>
      <c r="B929" s="197"/>
      <c r="C929" s="197"/>
    </row>
    <row r="930" spans="1:3" ht="15.75">
      <c r="A930" s="197" t="str">
        <f>CONCATENATE("учетом сроков строительства и НДС: ",FIXED(C960,0)," руб.")</f>
        <v>учетом сроков строительства и НДС: 0 руб.</v>
      </c>
      <c r="B930" s="197"/>
      <c r="C930" s="97"/>
    </row>
    <row r="931" spans="1:7" s="104" customFormat="1" ht="7.5" thickBot="1">
      <c r="A931" s="148"/>
      <c r="B931" s="149"/>
      <c r="C931" s="148"/>
      <c r="F931" s="150"/>
      <c r="G931" s="162"/>
    </row>
    <row r="932" spans="1:3" ht="17.25" thickBot="1" thickTop="1">
      <c r="A932" s="198" t="s">
        <v>54</v>
      </c>
      <c r="B932" s="199"/>
      <c r="C932" s="200"/>
    </row>
    <row r="933" spans="1:3" ht="39" thickBot="1">
      <c r="A933" s="107" t="s">
        <v>28</v>
      </c>
      <c r="B933" s="108" t="s">
        <v>58</v>
      </c>
      <c r="C933" s="107" t="s">
        <v>141</v>
      </c>
    </row>
    <row r="934" spans="1:3" ht="15.75">
      <c r="A934" s="110">
        <v>1</v>
      </c>
      <c r="B934" s="111" t="s">
        <v>42</v>
      </c>
      <c r="C934" s="112">
        <f>VLOOKUP($E$38,'Анализ стоимости'!$A$4:$DF$38,11,0)</f>
        <v>0</v>
      </c>
    </row>
    <row r="935" spans="1:3" ht="15.75">
      <c r="A935" s="113">
        <v>2</v>
      </c>
      <c r="B935" s="114" t="s">
        <v>65</v>
      </c>
      <c r="C935" s="115">
        <f>VLOOKUP($E$38,'Анализ стоимости'!$A$4:$DF$38,12,0)</f>
        <v>0</v>
      </c>
    </row>
    <row r="936" spans="1:3" ht="31.5">
      <c r="A936" s="113">
        <v>3</v>
      </c>
      <c r="B936" s="114" t="s">
        <v>75</v>
      </c>
      <c r="C936" s="115">
        <f>VLOOKUP($E$38,'Анализ стоимости'!$A$4:$DF$38,13,0)</f>
        <v>0</v>
      </c>
    </row>
    <row r="937" spans="1:3" ht="15.75">
      <c r="A937" s="113">
        <v>4</v>
      </c>
      <c r="B937" s="114" t="s">
        <v>66</v>
      </c>
      <c r="C937" s="115">
        <f>VLOOKUP($E$38,'Анализ стоимости'!$A$4:$DF$38,14,0)</f>
        <v>0</v>
      </c>
    </row>
    <row r="938" spans="1:3" ht="15.75">
      <c r="A938" s="113">
        <v>5</v>
      </c>
      <c r="B938" s="114" t="s">
        <v>76</v>
      </c>
      <c r="C938" s="115">
        <f>VLOOKUP($E$38,'Анализ стоимости'!$A$4:$DF$38,15,0)</f>
        <v>0</v>
      </c>
    </row>
    <row r="939" spans="1:3" ht="15.75">
      <c r="A939" s="113">
        <v>6</v>
      </c>
      <c r="B939" s="114" t="s">
        <v>33</v>
      </c>
      <c r="C939" s="115">
        <f>VLOOKUP($E$38,'Анализ стоимости'!$A$4:$DF$38,19,0)</f>
        <v>0</v>
      </c>
    </row>
    <row r="940" spans="1:3" ht="15.75">
      <c r="A940" s="113">
        <v>7</v>
      </c>
      <c r="B940" s="114" t="s">
        <v>51</v>
      </c>
      <c r="C940" s="115">
        <f>VLOOKUP($E$38,'Анализ стоимости'!$A$4:$DF$38,20,0)+VLOOKUP($E$38,'Анализ стоимости'!$A$4:$DF$38,22,0)+VLOOKUP($E$38,'Анализ стоимости'!$A$4:$DF$38,23,0)+VLOOKUP($E$38,'Анализ стоимости'!$A$4:$DF$38,24,0)+VLOOKUP($E$38,'Анализ стоимости'!$A$4:$DF$38,25,0)+VLOOKUP($E$38,'Анализ стоимости'!$A$4:$DF$38,26,0)+VLOOKUP($E$38,'Анализ стоимости'!$A$4:$DF$38,27,0)+VLOOKUP($E$38,'Анализ стоимости'!$A$4:$DF$38,28,0)+VLOOKUP($E$38,'Анализ стоимости'!$A$4:$DF$38,33,0)</f>
        <v>0</v>
      </c>
    </row>
    <row r="941" spans="1:9" ht="16.5" thickBot="1">
      <c r="A941" s="116"/>
      <c r="B941" s="117" t="s">
        <v>69</v>
      </c>
      <c r="C941" s="118">
        <f>SUM(C934:C940)</f>
        <v>0</v>
      </c>
      <c r="H941" s="109"/>
      <c r="I941" s="109"/>
    </row>
    <row r="942" spans="1:3" ht="16.5" thickBot="1">
      <c r="A942" s="201" t="s">
        <v>59</v>
      </c>
      <c r="B942" s="202"/>
      <c r="C942" s="203"/>
    </row>
    <row r="943" spans="1:3" ht="26.25" thickBot="1">
      <c r="A943" s="119" t="s">
        <v>28</v>
      </c>
      <c r="B943" s="108" t="s">
        <v>38</v>
      </c>
      <c r="C943" s="107" t="s">
        <v>60</v>
      </c>
    </row>
    <row r="944" spans="1:3" ht="15.75">
      <c r="A944" s="120"/>
      <c r="B944" s="121" t="s">
        <v>111</v>
      </c>
      <c r="C944" s="122"/>
    </row>
    <row r="945" spans="1:3" ht="15.75">
      <c r="A945" s="120"/>
      <c r="B945" s="114" t="s">
        <v>39</v>
      </c>
      <c r="C945" s="123">
        <f>IF(VLOOKUP($E$38,'Анализ стоимости'!$A$4:$DF$38,65,0)=0,0,DATE(2012,VLOOKUP($E$38,'Анализ стоимости'!$A$4:$DF$38,65,0),15))</f>
        <v>40923</v>
      </c>
    </row>
    <row r="946" spans="1:3" ht="15.75">
      <c r="A946" s="120"/>
      <c r="B946" s="114" t="s">
        <v>31</v>
      </c>
      <c r="C946" s="123">
        <f>IF(C945=0,0,DATE(2012,VLOOKUP($E$38,'Анализ стоимости'!$A$4:$DF$38,66,0),15))</f>
        <v>41258</v>
      </c>
    </row>
    <row r="947" spans="1:3" ht="25.5">
      <c r="A947" s="120"/>
      <c r="B947" s="124" t="s">
        <v>104</v>
      </c>
      <c r="C947" s="125">
        <f>IF(C945=0,0,VLOOKUP($E$38,'Анализ стоимости'!$A$4:$DF$38,71,0)+1)</f>
        <v>1.0725</v>
      </c>
    </row>
    <row r="948" spans="1:3" ht="15.75">
      <c r="A948" s="120"/>
      <c r="B948" s="134" t="s">
        <v>112</v>
      </c>
      <c r="C948" s="127">
        <f>VLOOKUP($E$38,'Анализ стоимости'!$A$4:$DF$38,43,0)</f>
        <v>0</v>
      </c>
    </row>
    <row r="949" spans="1:3" ht="15.75">
      <c r="A949" s="120"/>
      <c r="B949" s="114" t="s">
        <v>32</v>
      </c>
      <c r="C949" s="115">
        <f>VLOOKUP($E$38,'Анализ стоимости'!$A$4:$DF$38,48,0)</f>
        <v>0</v>
      </c>
    </row>
    <row r="950" spans="1:5" ht="15.75">
      <c r="A950" s="120"/>
      <c r="B950" s="114" t="s">
        <v>82</v>
      </c>
      <c r="C950" s="115">
        <f>VLOOKUP($E$38,'Анализ стоимости'!$A$4:$DF$38,53,0)</f>
        <v>0</v>
      </c>
      <c r="E950" s="140">
        <f>VLOOKUP($E$38,'Анализ стоимости'!$A$4:$DF$38,73,0)</f>
        <v>0</v>
      </c>
    </row>
    <row r="951" spans="1:5" ht="16.5" thickBot="1">
      <c r="A951" s="128"/>
      <c r="B951" s="129" t="s">
        <v>140</v>
      </c>
      <c r="C951" s="130">
        <f>SUM(C948:C950)</f>
        <v>0</v>
      </c>
      <c r="E951" s="140">
        <f>VLOOKUP($E$38,'Анализ стоимости'!$A$4:$DF$38,64)</f>
        <v>0</v>
      </c>
    </row>
    <row r="952" spans="1:3" ht="15.75" hidden="1" outlineLevel="1">
      <c r="A952" s="131"/>
      <c r="B952" s="132" t="s">
        <v>136</v>
      </c>
      <c r="C952" s="133"/>
    </row>
    <row r="953" spans="1:3" ht="15.75" hidden="1" outlineLevel="1">
      <c r="A953" s="120"/>
      <c r="B953" s="114" t="s">
        <v>39</v>
      </c>
      <c r="C953" s="123">
        <f>IF(VLOOKUP($E$38,'Анализ стоимости'!$A$4:$DF$38,7,0)="да",IF(VLOOKUP($E$38,'Анализ стоимости'!$A$4:$DF$38,67,0)=0,0,DATE(2013,VLOOKUP($E$38,'Анализ стоимости'!$A$4:$DF$38,67,0),15)),0)</f>
        <v>0</v>
      </c>
    </row>
    <row r="954" spans="1:3" ht="15.75" hidden="1" outlineLevel="1">
      <c r="A954" s="120"/>
      <c r="B954" s="114" t="s">
        <v>31</v>
      </c>
      <c r="C954" s="123">
        <f>IF(C953=0,0,DATE(2013,VLOOKUP($E$38,'Анализ стоимости'!$A$4:$DF$38,68,0),15))</f>
        <v>0</v>
      </c>
    </row>
    <row r="955" spans="1:3" ht="25.5" hidden="1" outlineLevel="1">
      <c r="A955" s="120"/>
      <c r="B955" s="124" t="s">
        <v>104</v>
      </c>
      <c r="C955" s="125">
        <f>IF(C953=0,0,VLOOKUP($E$38,'Анализ стоимости'!$A$4:$DF$38,72,0)+1)</f>
        <v>0</v>
      </c>
    </row>
    <row r="956" spans="1:3" ht="15.75" hidden="1" outlineLevel="1">
      <c r="A956" s="120"/>
      <c r="B956" s="134" t="s">
        <v>137</v>
      </c>
      <c r="C956" s="115">
        <f>C941-C948</f>
        <v>0</v>
      </c>
    </row>
    <row r="957" spans="1:3" ht="15.75" hidden="1" outlineLevel="1">
      <c r="A957" s="120"/>
      <c r="B957" s="114" t="s">
        <v>32</v>
      </c>
      <c r="C957" s="115">
        <f>VLOOKUP($E$38,'Анализ стоимости'!$A$4:$DF$38,58,0)</f>
        <v>0</v>
      </c>
    </row>
    <row r="958" spans="1:3" ht="15.75" hidden="1" outlineLevel="1">
      <c r="A958" s="120"/>
      <c r="B958" s="114" t="s">
        <v>82</v>
      </c>
      <c r="C958" s="115">
        <f>VLOOKUP($E$38,'Анализ стоимости'!$A$4:$DF$38,63,0)</f>
        <v>0</v>
      </c>
    </row>
    <row r="959" spans="1:3" ht="16.5" hidden="1" outlineLevel="1" thickBot="1">
      <c r="A959" s="128"/>
      <c r="B959" s="129" t="s">
        <v>138</v>
      </c>
      <c r="C959" s="130">
        <f>SUM(C956:C958)</f>
        <v>0</v>
      </c>
    </row>
    <row r="960" spans="1:5" ht="16.5" hidden="1" outlineLevel="1" collapsed="1" thickBot="1">
      <c r="A960" s="135"/>
      <c r="B960" s="136" t="s">
        <v>70</v>
      </c>
      <c r="C960" s="151">
        <f>ROUND(C951+C959,0)</f>
        <v>0</v>
      </c>
      <c r="E960" s="152">
        <f>IF(E$38=0,0,C960)</f>
        <v>0</v>
      </c>
    </row>
    <row r="961" spans="1:3" ht="15.75" collapsed="1">
      <c r="A961" s="137"/>
      <c r="B961" s="138"/>
      <c r="C961" s="139"/>
    </row>
    <row r="962" spans="1:3" ht="15.75">
      <c r="A962" s="137"/>
      <c r="B962" s="138"/>
      <c r="C962" s="139"/>
    </row>
    <row r="963" spans="1:7" ht="31.5">
      <c r="A963" s="204" t="str">
        <f>'Анализ стоимости'!$I$37</f>
        <v>Глава Сергиевского сельского поселения Кореновского района</v>
      </c>
      <c r="B963" s="205"/>
      <c r="C963" s="141" t="str">
        <f>CONCATENATE("_____________________ ",'Анализ стоимости'!$I$38)</f>
        <v>_____________________ С.А. Басеев </v>
      </c>
      <c r="G963" s="164" t="str">
        <f>A963</f>
        <v>Глава Сергиевского сельского поселения Кореновского района</v>
      </c>
    </row>
    <row r="964" spans="1:7" s="153" customFormat="1" ht="15.75">
      <c r="A964" s="96"/>
      <c r="B964" s="144"/>
      <c r="C964" s="96"/>
      <c r="F964" s="154"/>
      <c r="G964" s="165"/>
    </row>
    <row r="965" spans="1:7" s="153" customFormat="1" ht="15.75">
      <c r="A965" s="196"/>
      <c r="B965" s="196"/>
      <c r="C965" s="94"/>
      <c r="F965" s="154"/>
      <c r="G965" s="165"/>
    </row>
    <row r="966" spans="1:3" ht="15.75">
      <c r="A966" s="196"/>
      <c r="B966" s="196"/>
      <c r="C966" s="94"/>
    </row>
    <row r="967" spans="1:3" ht="18.75">
      <c r="A967" s="207" t="s">
        <v>35</v>
      </c>
      <c r="B967" s="207"/>
      <c r="C967" s="207"/>
    </row>
    <row r="968" spans="1:6" ht="63">
      <c r="A968" s="206" t="str">
        <f>F968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968" s="206"/>
      <c r="C968" s="206"/>
      <c r="F96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969" spans="1:6" ht="15.75">
      <c r="A969" s="206" t="str">
        <f>F969</f>
        <v>Наименование объекта: </v>
      </c>
      <c r="B969" s="206"/>
      <c r="C969" s="206"/>
      <c r="F969" s="146" t="str">
        <f>CONCATENATE("Наименование объекта: ",VLOOKUP($E$39,'Анализ стоимости'!$A$4:$DF$38,9,0))</f>
        <v>Наименование объекта: </v>
      </c>
    </row>
    <row r="970" spans="1:5" ht="15.75">
      <c r="A970" s="196" t="s">
        <v>53</v>
      </c>
      <c r="B970" s="196"/>
      <c r="C970" s="196"/>
      <c r="E970" s="147"/>
    </row>
    <row r="971" spans="1:3" ht="15.75">
      <c r="A971" s="197" t="s">
        <v>109</v>
      </c>
      <c r="B971" s="197"/>
      <c r="C971" s="197"/>
    </row>
    <row r="972" spans="1:3" ht="15.75">
      <c r="A972" s="197" t="str">
        <f>CONCATENATE("учетом сроков строительства и НДС: ",FIXED(C1002,0)," руб.")</f>
        <v>учетом сроков строительства и НДС: 0 руб.</v>
      </c>
      <c r="B972" s="197"/>
      <c r="C972" s="97"/>
    </row>
    <row r="973" spans="1:7" s="104" customFormat="1" ht="7.5" thickBot="1">
      <c r="A973" s="148"/>
      <c r="B973" s="149"/>
      <c r="C973" s="148"/>
      <c r="F973" s="150"/>
      <c r="G973" s="162"/>
    </row>
    <row r="974" spans="1:3" ht="17.25" thickBot="1" thickTop="1">
      <c r="A974" s="198" t="s">
        <v>54</v>
      </c>
      <c r="B974" s="199"/>
      <c r="C974" s="200"/>
    </row>
    <row r="975" spans="1:3" ht="39" thickBot="1">
      <c r="A975" s="107" t="s">
        <v>28</v>
      </c>
      <c r="B975" s="108" t="s">
        <v>58</v>
      </c>
      <c r="C975" s="107" t="s">
        <v>141</v>
      </c>
    </row>
    <row r="976" spans="1:3" ht="15.75">
      <c r="A976" s="110">
        <v>1</v>
      </c>
      <c r="B976" s="111" t="s">
        <v>42</v>
      </c>
      <c r="C976" s="112">
        <f>VLOOKUP($E$39,'Анализ стоимости'!$A$4:$DF$38,11,0)</f>
        <v>0</v>
      </c>
    </row>
    <row r="977" spans="1:3" ht="15.75">
      <c r="A977" s="113">
        <v>2</v>
      </c>
      <c r="B977" s="114" t="s">
        <v>65</v>
      </c>
      <c r="C977" s="115">
        <f>VLOOKUP($E$39,'Анализ стоимости'!$A$4:$DF$38,12,0)</f>
        <v>0</v>
      </c>
    </row>
    <row r="978" spans="1:3" ht="31.5">
      <c r="A978" s="113">
        <v>3</v>
      </c>
      <c r="B978" s="114" t="s">
        <v>75</v>
      </c>
      <c r="C978" s="115">
        <f>VLOOKUP($E$39,'Анализ стоимости'!$A$4:$DF$38,13,0)</f>
        <v>0</v>
      </c>
    </row>
    <row r="979" spans="1:3" ht="15.75">
      <c r="A979" s="113">
        <v>4</v>
      </c>
      <c r="B979" s="114" t="s">
        <v>66</v>
      </c>
      <c r="C979" s="115">
        <f>VLOOKUP($E$39,'Анализ стоимости'!$A$4:$DF$38,14,0)</f>
        <v>0</v>
      </c>
    </row>
    <row r="980" spans="1:3" ht="15.75">
      <c r="A980" s="113">
        <v>5</v>
      </c>
      <c r="B980" s="114" t="s">
        <v>76</v>
      </c>
      <c r="C980" s="115">
        <f>VLOOKUP($E$39,'Анализ стоимости'!$A$4:$DF$38,15,0)</f>
        <v>0</v>
      </c>
    </row>
    <row r="981" spans="1:3" ht="15.75">
      <c r="A981" s="113">
        <v>6</v>
      </c>
      <c r="B981" s="114" t="s">
        <v>33</v>
      </c>
      <c r="C981" s="115">
        <f>VLOOKUP($E$39,'Анализ стоимости'!$A$4:$DF$38,19,0)</f>
        <v>0</v>
      </c>
    </row>
    <row r="982" spans="1:3" ht="15.75">
      <c r="A982" s="113">
        <v>7</v>
      </c>
      <c r="B982" s="114" t="s">
        <v>51</v>
      </c>
      <c r="C982" s="115">
        <f>VLOOKUP($E$39,'Анализ стоимости'!$A$4:$DF$38,20,0)+VLOOKUP($E$39,'Анализ стоимости'!$A$4:$DF$38,22,0)+VLOOKUP($E$39,'Анализ стоимости'!$A$4:$DF$38,23,0)+VLOOKUP($E$39,'Анализ стоимости'!$A$4:$DF$38,24,0)+VLOOKUP($E$39,'Анализ стоимости'!$A$4:$DF$38,25,0)+VLOOKUP($E$39,'Анализ стоимости'!$A$4:$DF$38,26,0)+VLOOKUP($E$39,'Анализ стоимости'!$A$4:$DF$38,27,0)+VLOOKUP($E$39,'Анализ стоимости'!$A$4:$DF$38,28,0)+VLOOKUP($E$39,'Анализ стоимости'!$A$4:$DF$38,33,0)</f>
        <v>0</v>
      </c>
    </row>
    <row r="983" spans="1:9" ht="16.5" thickBot="1">
      <c r="A983" s="116"/>
      <c r="B983" s="117" t="s">
        <v>69</v>
      </c>
      <c r="C983" s="118">
        <f>SUM(C976:C982)</f>
        <v>0</v>
      </c>
      <c r="H983" s="109"/>
      <c r="I983" s="109"/>
    </row>
    <row r="984" spans="1:3" ht="16.5" thickBot="1">
      <c r="A984" s="201" t="s">
        <v>59</v>
      </c>
      <c r="B984" s="202"/>
      <c r="C984" s="203"/>
    </row>
    <row r="985" spans="1:3" ht="26.25" thickBot="1">
      <c r="A985" s="119" t="s">
        <v>28</v>
      </c>
      <c r="B985" s="108" t="s">
        <v>38</v>
      </c>
      <c r="C985" s="107" t="s">
        <v>60</v>
      </c>
    </row>
    <row r="986" spans="1:3" ht="15.75">
      <c r="A986" s="120"/>
      <c r="B986" s="121" t="s">
        <v>111</v>
      </c>
      <c r="C986" s="122"/>
    </row>
    <row r="987" spans="1:3" ht="15.75">
      <c r="A987" s="120"/>
      <c r="B987" s="114" t="s">
        <v>39</v>
      </c>
      <c r="C987" s="123">
        <f>IF(VLOOKUP($E$39,'Анализ стоимости'!$A$4:$DF$38,65,0)=0,0,DATE(2012,VLOOKUP($E$39,'Анализ стоимости'!$A$4:$DF$38,65,0),15))</f>
        <v>40923</v>
      </c>
    </row>
    <row r="988" spans="1:3" ht="15.75">
      <c r="A988" s="120"/>
      <c r="B988" s="114" t="s">
        <v>31</v>
      </c>
      <c r="C988" s="123">
        <f>IF(C987=0,0,DATE(2012,VLOOKUP($E$39,'Анализ стоимости'!$A$4:$DF$38,66,0),15))</f>
        <v>41258</v>
      </c>
    </row>
    <row r="989" spans="1:3" ht="25.5">
      <c r="A989" s="120"/>
      <c r="B989" s="124" t="s">
        <v>104</v>
      </c>
      <c r="C989" s="125">
        <f>IF(C987=0,0,VLOOKUP($E$39,'Анализ стоимости'!$A$4:$DF$38,71,0)+1)</f>
        <v>1.0725</v>
      </c>
    </row>
    <row r="990" spans="1:3" ht="15.75">
      <c r="A990" s="120"/>
      <c r="B990" s="134" t="s">
        <v>112</v>
      </c>
      <c r="C990" s="127">
        <f>VLOOKUP($E$39,'Анализ стоимости'!$A$4:$DF$38,43,0)</f>
        <v>0</v>
      </c>
    </row>
    <row r="991" spans="1:3" ht="15.75">
      <c r="A991" s="120"/>
      <c r="B991" s="114" t="s">
        <v>32</v>
      </c>
      <c r="C991" s="115">
        <f>VLOOKUP($E$39,'Анализ стоимости'!$A$4:$DF$38,48,0)</f>
        <v>0</v>
      </c>
    </row>
    <row r="992" spans="1:5" ht="15.75">
      <c r="A992" s="120"/>
      <c r="B992" s="114" t="s">
        <v>82</v>
      </c>
      <c r="C992" s="115">
        <f>VLOOKUP($E$39,'Анализ стоимости'!$A$4:$DF$38,53,0)</f>
        <v>0</v>
      </c>
      <c r="E992" s="140">
        <f>VLOOKUP($E$39,'Анализ стоимости'!$A$4:$DF$38,73,0)</f>
        <v>0</v>
      </c>
    </row>
    <row r="993" spans="1:5" ht="16.5" thickBot="1">
      <c r="A993" s="128"/>
      <c r="B993" s="129" t="s">
        <v>140</v>
      </c>
      <c r="C993" s="130">
        <f>SUM(C990:C992)</f>
        <v>0</v>
      </c>
      <c r="E993" s="140">
        <f>VLOOKUP($E$39,'Анализ стоимости'!$A$4:$DF$38,64)</f>
        <v>0</v>
      </c>
    </row>
    <row r="994" spans="1:3" ht="15.75" hidden="1" outlineLevel="1">
      <c r="A994" s="131"/>
      <c r="B994" s="132" t="s">
        <v>136</v>
      </c>
      <c r="C994" s="133"/>
    </row>
    <row r="995" spans="1:3" ht="15.75" hidden="1" outlineLevel="1">
      <c r="A995" s="120"/>
      <c r="B995" s="114" t="s">
        <v>39</v>
      </c>
      <c r="C995" s="123">
        <f>IF(VLOOKUP($E$39,'Анализ стоимости'!$A$4:$DF$38,7,0)="да",IF(VLOOKUP($E$39,'Анализ стоимости'!$A$4:$DF$38,67,0)=0,0,DATE(2013,VLOOKUP($E$39,'Анализ стоимости'!$A$4:$DF$38,67,0),15)),0)</f>
        <v>0</v>
      </c>
    </row>
    <row r="996" spans="1:3" ht="15.75" hidden="1" outlineLevel="1">
      <c r="A996" s="120"/>
      <c r="B996" s="114" t="s">
        <v>31</v>
      </c>
      <c r="C996" s="123">
        <f>IF(C995=0,0,DATE(2013,VLOOKUP($E$39,'Анализ стоимости'!$A$4:$DF$38,68,0),15))</f>
        <v>0</v>
      </c>
    </row>
    <row r="997" spans="1:3" ht="25.5" hidden="1" outlineLevel="1">
      <c r="A997" s="120"/>
      <c r="B997" s="124" t="s">
        <v>104</v>
      </c>
      <c r="C997" s="125">
        <f>IF(C995=0,0,VLOOKUP($E$39,'Анализ стоимости'!$A$4:$DF$38,72,0)+1)</f>
        <v>0</v>
      </c>
    </row>
    <row r="998" spans="1:3" ht="15.75" hidden="1" outlineLevel="1">
      <c r="A998" s="120"/>
      <c r="B998" s="134" t="s">
        <v>137</v>
      </c>
      <c r="C998" s="115">
        <f>C983-C990</f>
        <v>0</v>
      </c>
    </row>
    <row r="999" spans="1:3" ht="15.75" hidden="1" outlineLevel="1">
      <c r="A999" s="120"/>
      <c r="B999" s="114" t="s">
        <v>32</v>
      </c>
      <c r="C999" s="115">
        <f>VLOOKUP($E$39,'Анализ стоимости'!$A$4:$DF$38,58,0)</f>
        <v>0</v>
      </c>
    </row>
    <row r="1000" spans="1:3" ht="15.75" hidden="1" outlineLevel="1">
      <c r="A1000" s="120"/>
      <c r="B1000" s="114" t="s">
        <v>82</v>
      </c>
      <c r="C1000" s="115">
        <f>VLOOKUP($E$39,'Анализ стоимости'!$A$4:$DF$38,63,0)</f>
        <v>0</v>
      </c>
    </row>
    <row r="1001" spans="1:3" ht="16.5" hidden="1" outlineLevel="1" thickBot="1">
      <c r="A1001" s="128"/>
      <c r="B1001" s="129" t="s">
        <v>138</v>
      </c>
      <c r="C1001" s="130">
        <f>SUM(C998:C1000)</f>
        <v>0</v>
      </c>
    </row>
    <row r="1002" spans="1:5" ht="16.5" hidden="1" outlineLevel="1" collapsed="1" thickBot="1">
      <c r="A1002" s="135"/>
      <c r="B1002" s="136" t="s">
        <v>70</v>
      </c>
      <c r="C1002" s="151">
        <f>ROUND(C993+C1001,0)</f>
        <v>0</v>
      </c>
      <c r="E1002" s="152">
        <f>IF(E$39=0,0,C1002)</f>
        <v>0</v>
      </c>
    </row>
    <row r="1003" spans="1:3" ht="15.75" collapsed="1">
      <c r="A1003" s="137"/>
      <c r="B1003" s="138"/>
      <c r="C1003" s="139"/>
    </row>
    <row r="1004" spans="1:3" ht="15.75">
      <c r="A1004" s="137"/>
      <c r="B1004" s="138"/>
      <c r="C1004" s="139"/>
    </row>
    <row r="1005" spans="1:7" ht="31.5">
      <c r="A1005" s="204" t="str">
        <f>'Анализ стоимости'!$I$37</f>
        <v>Глава Сергиевского сельского поселения Кореновского района</v>
      </c>
      <c r="B1005" s="205"/>
      <c r="C1005" s="141" t="str">
        <f>CONCATENATE("_____________________ ",'Анализ стоимости'!$I$38)</f>
        <v>_____________________ С.А. Басеев </v>
      </c>
      <c r="G1005" s="164" t="str">
        <f>A1005</f>
        <v>Глава Сергиевского сельского поселения Кореновского района</v>
      </c>
    </row>
    <row r="1006" spans="1:7" s="153" customFormat="1" ht="15.75">
      <c r="A1006" s="96"/>
      <c r="B1006" s="144"/>
      <c r="C1006" s="96"/>
      <c r="F1006" s="154"/>
      <c r="G1006" s="165"/>
    </row>
    <row r="1007" spans="1:7" s="153" customFormat="1" ht="15.75">
      <c r="A1007" s="196"/>
      <c r="B1007" s="196"/>
      <c r="C1007" s="94"/>
      <c r="F1007" s="154"/>
      <c r="G1007" s="165"/>
    </row>
    <row r="1008" spans="1:3" ht="15.75">
      <c r="A1008" s="196"/>
      <c r="B1008" s="196"/>
      <c r="C1008" s="94"/>
    </row>
    <row r="1009" spans="1:3" ht="18.75">
      <c r="A1009" s="207" t="s">
        <v>35</v>
      </c>
      <c r="B1009" s="207"/>
      <c r="C1009" s="207"/>
    </row>
    <row r="1010" spans="1:6" ht="63">
      <c r="A1010" s="206" t="str">
        <f>F1010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010" s="206"/>
      <c r="C1010" s="206"/>
      <c r="F101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011" spans="1:6" ht="15.75">
      <c r="A1011" s="206" t="str">
        <f>F1011</f>
        <v>Наименование объекта: </v>
      </c>
      <c r="B1011" s="206"/>
      <c r="C1011" s="206"/>
      <c r="F1011" s="146" t="str">
        <f>CONCATENATE("Наименование объекта: ",VLOOKUP($E$40,'Анализ стоимости'!$A$4:$DF$38,9,0))</f>
        <v>Наименование объекта: </v>
      </c>
    </row>
    <row r="1012" spans="1:5" ht="15.75">
      <c r="A1012" s="196" t="s">
        <v>53</v>
      </c>
      <c r="B1012" s="196"/>
      <c r="C1012" s="196"/>
      <c r="E1012" s="147"/>
    </row>
    <row r="1013" spans="1:3" ht="15.75">
      <c r="A1013" s="197" t="s">
        <v>109</v>
      </c>
      <c r="B1013" s="197"/>
      <c r="C1013" s="197"/>
    </row>
    <row r="1014" spans="1:3" ht="15.75">
      <c r="A1014" s="197" t="str">
        <f>CONCATENATE("учетом сроков строительства и НДС: ",FIXED(C1044,0)," руб.")</f>
        <v>учетом сроков строительства и НДС: 0 руб.</v>
      </c>
      <c r="B1014" s="197"/>
      <c r="C1014" s="97"/>
    </row>
    <row r="1015" spans="1:7" s="104" customFormat="1" ht="7.5" thickBot="1">
      <c r="A1015" s="148"/>
      <c r="B1015" s="149"/>
      <c r="C1015" s="148"/>
      <c r="F1015" s="150"/>
      <c r="G1015" s="162"/>
    </row>
    <row r="1016" spans="1:3" ht="17.25" thickBot="1" thickTop="1">
      <c r="A1016" s="198" t="s">
        <v>54</v>
      </c>
      <c r="B1016" s="199"/>
      <c r="C1016" s="200"/>
    </row>
    <row r="1017" spans="1:3" ht="39" thickBot="1">
      <c r="A1017" s="107" t="s">
        <v>28</v>
      </c>
      <c r="B1017" s="108" t="s">
        <v>58</v>
      </c>
      <c r="C1017" s="107" t="s">
        <v>141</v>
      </c>
    </row>
    <row r="1018" spans="1:3" ht="15.75">
      <c r="A1018" s="110">
        <v>1</v>
      </c>
      <c r="B1018" s="111" t="s">
        <v>42</v>
      </c>
      <c r="C1018" s="112">
        <f>VLOOKUP($E$40,'Анализ стоимости'!$A$4:$DF$38,11,0)</f>
        <v>0</v>
      </c>
    </row>
    <row r="1019" spans="1:3" ht="15.75">
      <c r="A1019" s="113">
        <v>2</v>
      </c>
      <c r="B1019" s="114" t="s">
        <v>65</v>
      </c>
      <c r="C1019" s="115">
        <f>VLOOKUP($E$40,'Анализ стоимости'!$A$4:$DF$38,12,0)</f>
        <v>0</v>
      </c>
    </row>
    <row r="1020" spans="1:3" ht="31.5">
      <c r="A1020" s="113">
        <v>3</v>
      </c>
      <c r="B1020" s="114" t="s">
        <v>75</v>
      </c>
      <c r="C1020" s="115">
        <f>VLOOKUP($E$40,'Анализ стоимости'!$A$4:$DF$38,13,0)</f>
        <v>0</v>
      </c>
    </row>
    <row r="1021" spans="1:3" ht="15.75">
      <c r="A1021" s="113">
        <v>4</v>
      </c>
      <c r="B1021" s="114" t="s">
        <v>66</v>
      </c>
      <c r="C1021" s="115">
        <f>VLOOKUP($E$40,'Анализ стоимости'!$A$4:$DF$38,14,0)</f>
        <v>0</v>
      </c>
    </row>
    <row r="1022" spans="1:3" ht="15.75">
      <c r="A1022" s="113">
        <v>5</v>
      </c>
      <c r="B1022" s="114" t="s">
        <v>76</v>
      </c>
      <c r="C1022" s="115">
        <f>VLOOKUP($E$40,'Анализ стоимости'!$A$4:$DF$38,15,0)</f>
        <v>0</v>
      </c>
    </row>
    <row r="1023" spans="1:3" ht="15.75">
      <c r="A1023" s="113">
        <v>6</v>
      </c>
      <c r="B1023" s="114" t="s">
        <v>33</v>
      </c>
      <c r="C1023" s="115">
        <f>VLOOKUP($E$40,'Анализ стоимости'!$A$4:$DF$38,19,0)</f>
        <v>0</v>
      </c>
    </row>
    <row r="1024" spans="1:3" ht="15.75">
      <c r="A1024" s="113">
        <v>7</v>
      </c>
      <c r="B1024" s="114" t="s">
        <v>51</v>
      </c>
      <c r="C1024" s="115">
        <f>VLOOKUP($E$40,'Анализ стоимости'!$A$4:$DF$38,20,0)+VLOOKUP($E$40,'Анализ стоимости'!$A$4:$DF$38,22,0)+VLOOKUP($E$40,'Анализ стоимости'!$A$4:$DF$38,23,0)+VLOOKUP($E$40,'Анализ стоимости'!$A$4:$DF$38,24,0)+VLOOKUP($E$40,'Анализ стоимости'!$A$4:$DF$38,25,0)+VLOOKUP($E$40,'Анализ стоимости'!$A$4:$DF$38,26,0)+VLOOKUP($E$40,'Анализ стоимости'!$A$4:$DF$38,27,0)+VLOOKUP($E$40,'Анализ стоимости'!$A$4:$DF$38,28,0)+VLOOKUP($E$40,'Анализ стоимости'!$A$4:$DF$38,33,0)</f>
        <v>0</v>
      </c>
    </row>
    <row r="1025" spans="1:9" ht="16.5" thickBot="1">
      <c r="A1025" s="116"/>
      <c r="B1025" s="117" t="s">
        <v>69</v>
      </c>
      <c r="C1025" s="118">
        <f>SUM(C1018:C1024)</f>
        <v>0</v>
      </c>
      <c r="H1025" s="109"/>
      <c r="I1025" s="109"/>
    </row>
    <row r="1026" spans="1:3" ht="16.5" thickBot="1">
      <c r="A1026" s="201" t="s">
        <v>59</v>
      </c>
      <c r="B1026" s="202"/>
      <c r="C1026" s="203"/>
    </row>
    <row r="1027" spans="1:3" ht="26.25" thickBot="1">
      <c r="A1027" s="119" t="s">
        <v>28</v>
      </c>
      <c r="B1027" s="108" t="s">
        <v>38</v>
      </c>
      <c r="C1027" s="107" t="s">
        <v>60</v>
      </c>
    </row>
    <row r="1028" spans="1:3" ht="15.75">
      <c r="A1028" s="120"/>
      <c r="B1028" s="121" t="s">
        <v>111</v>
      </c>
      <c r="C1028" s="122"/>
    </row>
    <row r="1029" spans="1:3" ht="15.75">
      <c r="A1029" s="120"/>
      <c r="B1029" s="114" t="s">
        <v>39</v>
      </c>
      <c r="C1029" s="123">
        <f>IF(VLOOKUP($E$40,'Анализ стоимости'!$A$4:$DF$38,65,0)=0,0,DATE(2012,VLOOKUP($E$40,'Анализ стоимости'!$A$4:$DF$38,65,0),15))</f>
        <v>40923</v>
      </c>
    </row>
    <row r="1030" spans="1:3" ht="15.75">
      <c r="A1030" s="120"/>
      <c r="B1030" s="114" t="s">
        <v>31</v>
      </c>
      <c r="C1030" s="123">
        <f>IF(C1029=0,0,DATE(2012,VLOOKUP($E$40,'Анализ стоимости'!$A$4:$DF$38,66,0),15))</f>
        <v>41258</v>
      </c>
    </row>
    <row r="1031" spans="1:3" ht="25.5">
      <c r="A1031" s="120"/>
      <c r="B1031" s="124" t="s">
        <v>104</v>
      </c>
      <c r="C1031" s="125">
        <f>IF(C1029=0,0,VLOOKUP($E$40,'Анализ стоимости'!$A$4:$DF$38,71,0)+1)</f>
        <v>1.0725</v>
      </c>
    </row>
    <row r="1032" spans="1:3" ht="15.75">
      <c r="A1032" s="120"/>
      <c r="B1032" s="134" t="s">
        <v>112</v>
      </c>
      <c r="C1032" s="127">
        <f>VLOOKUP($E$40,'Анализ стоимости'!$A$4:$DF$38,43,0)</f>
        <v>0</v>
      </c>
    </row>
    <row r="1033" spans="1:3" ht="15.75">
      <c r="A1033" s="120"/>
      <c r="B1033" s="114" t="s">
        <v>32</v>
      </c>
      <c r="C1033" s="115">
        <f>VLOOKUP($E$40,'Анализ стоимости'!$A$4:$DF$38,48,0)</f>
        <v>0</v>
      </c>
    </row>
    <row r="1034" spans="1:5" ht="15.75">
      <c r="A1034" s="120"/>
      <c r="B1034" s="114" t="s">
        <v>82</v>
      </c>
      <c r="C1034" s="115">
        <f>VLOOKUP($E$40,'Анализ стоимости'!$A$4:$DF$38,53,0)</f>
        <v>0</v>
      </c>
      <c r="E1034" s="140">
        <f>VLOOKUP($E$40,'Анализ стоимости'!$A$4:$DF$38,73,0)</f>
        <v>0</v>
      </c>
    </row>
    <row r="1035" spans="1:5" ht="16.5" thickBot="1">
      <c r="A1035" s="128"/>
      <c r="B1035" s="129" t="s">
        <v>140</v>
      </c>
      <c r="C1035" s="130">
        <f>SUM(C1032:C1034)</f>
        <v>0</v>
      </c>
      <c r="E1035" s="140">
        <f>VLOOKUP($E$40,'Анализ стоимости'!$A$4:$DF$38,64)</f>
        <v>0</v>
      </c>
    </row>
    <row r="1036" spans="1:3" ht="15.75" hidden="1" outlineLevel="1">
      <c r="A1036" s="131"/>
      <c r="B1036" s="132" t="s">
        <v>136</v>
      </c>
      <c r="C1036" s="133"/>
    </row>
    <row r="1037" spans="1:3" ht="15.75" hidden="1" outlineLevel="1">
      <c r="A1037" s="120"/>
      <c r="B1037" s="114" t="s">
        <v>39</v>
      </c>
      <c r="C1037" s="123">
        <f>IF(VLOOKUP($E$40,'Анализ стоимости'!$A$4:$DF$38,7,0)="да",IF(VLOOKUP($E$40,'Анализ стоимости'!$A$4:$DF$38,67,0)=0,0,DATE(2013,VLOOKUP($E$40,'Анализ стоимости'!$A$4:$DF$38,67,0),15)),0)</f>
        <v>0</v>
      </c>
    </row>
    <row r="1038" spans="1:3" ht="15.75" hidden="1" outlineLevel="1">
      <c r="A1038" s="120"/>
      <c r="B1038" s="114" t="s">
        <v>31</v>
      </c>
      <c r="C1038" s="123">
        <f>IF(C1037=0,0,DATE(2013,VLOOKUP($E$40,'Анализ стоимости'!$A$4:$DF$38,68,0),15))</f>
        <v>0</v>
      </c>
    </row>
    <row r="1039" spans="1:3" ht="25.5" hidden="1" outlineLevel="1">
      <c r="A1039" s="120"/>
      <c r="B1039" s="124" t="s">
        <v>104</v>
      </c>
      <c r="C1039" s="125">
        <f>IF(C1037=0,0,VLOOKUP($E$40,'Анализ стоимости'!$A$4:$DF$38,72,0)+1)</f>
        <v>0</v>
      </c>
    </row>
    <row r="1040" spans="1:3" ht="15.75" hidden="1" outlineLevel="1">
      <c r="A1040" s="120"/>
      <c r="B1040" s="134" t="s">
        <v>137</v>
      </c>
      <c r="C1040" s="115">
        <f>C1025-C1032</f>
        <v>0</v>
      </c>
    </row>
    <row r="1041" spans="1:3" ht="15.75" hidden="1" outlineLevel="1">
      <c r="A1041" s="120"/>
      <c r="B1041" s="114" t="s">
        <v>32</v>
      </c>
      <c r="C1041" s="115">
        <f>VLOOKUP($E$40,'Анализ стоимости'!$A$4:$DF$38,58,0)</f>
        <v>0</v>
      </c>
    </row>
    <row r="1042" spans="1:3" ht="15.75" hidden="1" outlineLevel="1">
      <c r="A1042" s="120"/>
      <c r="B1042" s="114" t="s">
        <v>82</v>
      </c>
      <c r="C1042" s="115">
        <f>VLOOKUP($E$40,'Анализ стоимости'!$A$4:$DF$38,63,0)</f>
        <v>0</v>
      </c>
    </row>
    <row r="1043" spans="1:3" ht="16.5" hidden="1" outlineLevel="1" thickBot="1">
      <c r="A1043" s="128"/>
      <c r="B1043" s="129" t="s">
        <v>138</v>
      </c>
      <c r="C1043" s="130">
        <f>SUM(C1040:C1042)</f>
        <v>0</v>
      </c>
    </row>
    <row r="1044" spans="1:5" ht="16.5" hidden="1" outlineLevel="1" collapsed="1" thickBot="1">
      <c r="A1044" s="135"/>
      <c r="B1044" s="136" t="s">
        <v>70</v>
      </c>
      <c r="C1044" s="151">
        <f>ROUND(C1035+C1043,0)</f>
        <v>0</v>
      </c>
      <c r="E1044" s="152">
        <f>IF(E$40=0,0,C1044)</f>
        <v>0</v>
      </c>
    </row>
    <row r="1045" spans="1:3" ht="15.75" collapsed="1">
      <c r="A1045" s="137"/>
      <c r="B1045" s="138"/>
      <c r="C1045" s="139"/>
    </row>
    <row r="1046" spans="1:3" ht="15.75">
      <c r="A1046" s="137"/>
      <c r="B1046" s="138"/>
      <c r="C1046" s="139"/>
    </row>
    <row r="1047" spans="1:7" ht="31.5">
      <c r="A1047" s="204" t="str">
        <f>'Анализ стоимости'!$I$37</f>
        <v>Глава Сергиевского сельского поселения Кореновского района</v>
      </c>
      <c r="B1047" s="205"/>
      <c r="C1047" s="141" t="str">
        <f>CONCATENATE("_____________________ ",'Анализ стоимости'!$I$38)</f>
        <v>_____________________ С.А. Басеев </v>
      </c>
      <c r="G1047" s="164" t="str">
        <f>A1047</f>
        <v>Глава Сергиевского сельского поселения Кореновского района</v>
      </c>
    </row>
    <row r="1048" spans="1:7" s="153" customFormat="1" ht="15.75">
      <c r="A1048" s="96"/>
      <c r="B1048" s="144"/>
      <c r="C1048" s="96"/>
      <c r="F1048" s="154"/>
      <c r="G1048" s="165"/>
    </row>
    <row r="1049" spans="1:7" s="153" customFormat="1" ht="15.75">
      <c r="A1049" s="196"/>
      <c r="B1049" s="196"/>
      <c r="C1049" s="94"/>
      <c r="F1049" s="154"/>
      <c r="G1049" s="165"/>
    </row>
    <row r="1050" spans="1:3" ht="15.75">
      <c r="A1050" s="196"/>
      <c r="B1050" s="196"/>
      <c r="C1050" s="94"/>
    </row>
    <row r="1051" spans="1:3" ht="18.75">
      <c r="A1051" s="207" t="s">
        <v>35</v>
      </c>
      <c r="B1051" s="207"/>
      <c r="C1051" s="207"/>
    </row>
    <row r="1052" spans="1:6" ht="63">
      <c r="A1052" s="206" t="str">
        <f>F1052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052" s="206"/>
      <c r="C1052" s="206"/>
      <c r="F105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053" spans="1:6" ht="15.75">
      <c r="A1053" s="206" t="str">
        <f>F1053</f>
        <v>Наименование объекта: </v>
      </c>
      <c r="B1053" s="206"/>
      <c r="C1053" s="206"/>
      <c r="F1053" s="146" t="str">
        <f>CONCATENATE("Наименование объекта: ",VLOOKUP($E$41,'Анализ стоимости'!$A$4:$DF$38,9,0))</f>
        <v>Наименование объекта: </v>
      </c>
    </row>
    <row r="1054" spans="1:5" ht="15.75">
      <c r="A1054" s="196" t="s">
        <v>53</v>
      </c>
      <c r="B1054" s="196"/>
      <c r="C1054" s="196"/>
      <c r="E1054" s="147"/>
    </row>
    <row r="1055" spans="1:3" ht="15.75">
      <c r="A1055" s="197" t="s">
        <v>109</v>
      </c>
      <c r="B1055" s="197"/>
      <c r="C1055" s="197"/>
    </row>
    <row r="1056" spans="1:3" ht="15.75">
      <c r="A1056" s="197" t="str">
        <f>CONCATENATE("учетом сроков строительства и НДС: ",FIXED(C1086,0)," руб.")</f>
        <v>учетом сроков строительства и НДС: 0 руб.</v>
      </c>
      <c r="B1056" s="197"/>
      <c r="C1056" s="97"/>
    </row>
    <row r="1057" spans="1:7" s="104" customFormat="1" ht="7.5" thickBot="1">
      <c r="A1057" s="148"/>
      <c r="B1057" s="149"/>
      <c r="C1057" s="148"/>
      <c r="F1057" s="150"/>
      <c r="G1057" s="162"/>
    </row>
    <row r="1058" spans="1:3" ht="17.25" thickBot="1" thickTop="1">
      <c r="A1058" s="198" t="s">
        <v>54</v>
      </c>
      <c r="B1058" s="199"/>
      <c r="C1058" s="200"/>
    </row>
    <row r="1059" spans="1:3" ht="39" thickBot="1">
      <c r="A1059" s="107" t="s">
        <v>28</v>
      </c>
      <c r="B1059" s="108" t="s">
        <v>58</v>
      </c>
      <c r="C1059" s="107" t="s">
        <v>141</v>
      </c>
    </row>
    <row r="1060" spans="1:3" ht="15.75">
      <c r="A1060" s="110">
        <v>1</v>
      </c>
      <c r="B1060" s="111" t="s">
        <v>42</v>
      </c>
      <c r="C1060" s="112">
        <f>VLOOKUP($E$41,'Анализ стоимости'!$A$4:$DF$38,11,0)</f>
        <v>0</v>
      </c>
    </row>
    <row r="1061" spans="1:3" ht="15.75">
      <c r="A1061" s="113">
        <v>2</v>
      </c>
      <c r="B1061" s="114" t="s">
        <v>65</v>
      </c>
      <c r="C1061" s="115">
        <f>VLOOKUP($E$41,'Анализ стоимости'!$A$4:$DF$38,12,0)</f>
        <v>0</v>
      </c>
    </row>
    <row r="1062" spans="1:3" ht="31.5">
      <c r="A1062" s="113">
        <v>3</v>
      </c>
      <c r="B1062" s="114" t="s">
        <v>75</v>
      </c>
      <c r="C1062" s="115">
        <f>VLOOKUP($E$41,'Анализ стоимости'!$A$4:$DF$38,13,0)</f>
        <v>0</v>
      </c>
    </row>
    <row r="1063" spans="1:3" ht="15.75">
      <c r="A1063" s="113">
        <v>4</v>
      </c>
      <c r="B1063" s="114" t="s">
        <v>66</v>
      </c>
      <c r="C1063" s="115">
        <f>VLOOKUP($E$41,'Анализ стоимости'!$A$4:$DF$38,14,0)</f>
        <v>0</v>
      </c>
    </row>
    <row r="1064" spans="1:3" ht="15.75">
      <c r="A1064" s="113">
        <v>5</v>
      </c>
      <c r="B1064" s="114" t="s">
        <v>76</v>
      </c>
      <c r="C1064" s="115">
        <f>VLOOKUP($E$41,'Анализ стоимости'!$A$4:$DF$38,15,0)</f>
        <v>0</v>
      </c>
    </row>
    <row r="1065" spans="1:3" ht="15.75">
      <c r="A1065" s="113">
        <v>6</v>
      </c>
      <c r="B1065" s="114" t="s">
        <v>33</v>
      </c>
      <c r="C1065" s="115">
        <f>VLOOKUP($E$41,'Анализ стоимости'!$A$4:$DF$38,19,0)</f>
        <v>0</v>
      </c>
    </row>
    <row r="1066" spans="1:3" ht="15.75">
      <c r="A1066" s="113">
        <v>7</v>
      </c>
      <c r="B1066" s="114" t="s">
        <v>51</v>
      </c>
      <c r="C1066" s="115">
        <f>VLOOKUP($E$41,'Анализ стоимости'!$A$4:$DF$38,20,0)+VLOOKUP($E$41,'Анализ стоимости'!$A$4:$DF$38,22,0)+VLOOKUP($E$41,'Анализ стоимости'!$A$4:$DF$38,23,0)+VLOOKUP($E$41,'Анализ стоимости'!$A$4:$DF$38,24,0)+VLOOKUP($E$41,'Анализ стоимости'!$A$4:$DF$38,25,0)+VLOOKUP($E$41,'Анализ стоимости'!$A$4:$DF$38,26,0)+VLOOKUP($E$41,'Анализ стоимости'!$A$4:$DF$38,27,0)+VLOOKUP($E$41,'Анализ стоимости'!$A$4:$DF$38,28,0)+VLOOKUP($E$41,'Анализ стоимости'!$A$4:$DF$38,33,0)</f>
        <v>0</v>
      </c>
    </row>
    <row r="1067" spans="1:9" ht="16.5" thickBot="1">
      <c r="A1067" s="116"/>
      <c r="B1067" s="117" t="s">
        <v>69</v>
      </c>
      <c r="C1067" s="118">
        <f>SUM(C1060:C1066)</f>
        <v>0</v>
      </c>
      <c r="H1067" s="109"/>
      <c r="I1067" s="109"/>
    </row>
    <row r="1068" spans="1:3" ht="16.5" thickBot="1">
      <c r="A1068" s="201" t="s">
        <v>59</v>
      </c>
      <c r="B1068" s="202"/>
      <c r="C1068" s="203"/>
    </row>
    <row r="1069" spans="1:3" ht="26.25" thickBot="1">
      <c r="A1069" s="119" t="s">
        <v>28</v>
      </c>
      <c r="B1069" s="108" t="s">
        <v>38</v>
      </c>
      <c r="C1069" s="107" t="s">
        <v>60</v>
      </c>
    </row>
    <row r="1070" spans="1:3" ht="15.75">
      <c r="A1070" s="120"/>
      <c r="B1070" s="121" t="s">
        <v>111</v>
      </c>
      <c r="C1070" s="122"/>
    </row>
    <row r="1071" spans="1:3" ht="15.75">
      <c r="A1071" s="120"/>
      <c r="B1071" s="114" t="s">
        <v>39</v>
      </c>
      <c r="C1071" s="123">
        <f>IF(VLOOKUP($E$41,'Анализ стоимости'!$A$4:$DF$38,65,0)=0,0,DATE(2012,VLOOKUP($E$41,'Анализ стоимости'!$A$4:$DF$38,65,0),15))</f>
        <v>40923</v>
      </c>
    </row>
    <row r="1072" spans="1:3" ht="15.75">
      <c r="A1072" s="120"/>
      <c r="B1072" s="114" t="s">
        <v>31</v>
      </c>
      <c r="C1072" s="123">
        <f>IF(C1071=0,0,DATE(2012,VLOOKUP($E$41,'Анализ стоимости'!$A$4:$DF$38,66,0),15))</f>
        <v>41258</v>
      </c>
    </row>
    <row r="1073" spans="1:3" ht="25.5">
      <c r="A1073" s="120"/>
      <c r="B1073" s="124" t="s">
        <v>104</v>
      </c>
      <c r="C1073" s="125">
        <f>IF(C1071=0,0,VLOOKUP($E$41,'Анализ стоимости'!$A$4:$DF$38,71,0)+1)</f>
        <v>1.0725</v>
      </c>
    </row>
    <row r="1074" spans="1:3" ht="15.75">
      <c r="A1074" s="120"/>
      <c r="B1074" s="134" t="s">
        <v>112</v>
      </c>
      <c r="C1074" s="127">
        <f>VLOOKUP($E$41,'Анализ стоимости'!$A$4:$DF$38,43,0)</f>
        <v>0</v>
      </c>
    </row>
    <row r="1075" spans="1:3" ht="15.75">
      <c r="A1075" s="120"/>
      <c r="B1075" s="114" t="s">
        <v>32</v>
      </c>
      <c r="C1075" s="115">
        <f>VLOOKUP($E$41,'Анализ стоимости'!$A$4:$DF$38,48,0)</f>
        <v>0</v>
      </c>
    </row>
    <row r="1076" spans="1:5" ht="15.75">
      <c r="A1076" s="120"/>
      <c r="B1076" s="114" t="s">
        <v>82</v>
      </c>
      <c r="C1076" s="115">
        <f>VLOOKUP($E$41,'Анализ стоимости'!$A$4:$DF$38,53,0)</f>
        <v>0</v>
      </c>
      <c r="E1076" s="140">
        <f>VLOOKUP($E$41,'Анализ стоимости'!$A$4:$DF$38,73,0)</f>
        <v>0</v>
      </c>
    </row>
    <row r="1077" spans="1:5" ht="16.5" thickBot="1">
      <c r="A1077" s="128"/>
      <c r="B1077" s="129" t="s">
        <v>140</v>
      </c>
      <c r="C1077" s="130">
        <f>SUM(C1074:C1076)</f>
        <v>0</v>
      </c>
      <c r="E1077" s="140">
        <f>VLOOKUP($E$41,'Анализ стоимости'!$A$4:$DF$38,64)</f>
        <v>0</v>
      </c>
    </row>
    <row r="1078" spans="1:3" ht="15.75" hidden="1" outlineLevel="1">
      <c r="A1078" s="131"/>
      <c r="B1078" s="132" t="s">
        <v>136</v>
      </c>
      <c r="C1078" s="133"/>
    </row>
    <row r="1079" spans="1:3" ht="15.75" hidden="1" outlineLevel="1">
      <c r="A1079" s="120"/>
      <c r="B1079" s="114" t="s">
        <v>39</v>
      </c>
      <c r="C1079" s="123">
        <f>IF(VLOOKUP($E$41,'Анализ стоимости'!$A$4:$DF$38,7,0)="да",IF(VLOOKUP($E$41,'Анализ стоимости'!$A$4:$DF$38,67,0)=0,0,DATE(2013,VLOOKUP($E$41,'Анализ стоимости'!$A$4:$DF$38,67,0),15)),0)</f>
        <v>0</v>
      </c>
    </row>
    <row r="1080" spans="1:3" ht="15.75" hidden="1" outlineLevel="1">
      <c r="A1080" s="120"/>
      <c r="B1080" s="114" t="s">
        <v>31</v>
      </c>
      <c r="C1080" s="123">
        <f>IF(C1079=0,0,DATE(2013,VLOOKUP($E$41,'Анализ стоимости'!$A$4:$DF$38,68,0),15))</f>
        <v>0</v>
      </c>
    </row>
    <row r="1081" spans="1:3" ht="25.5" hidden="1" outlineLevel="1">
      <c r="A1081" s="120"/>
      <c r="B1081" s="124" t="s">
        <v>104</v>
      </c>
      <c r="C1081" s="125">
        <f>IF(C1079=0,0,VLOOKUP($E$41,'Анализ стоимости'!$A$4:$DF$38,72,0)+1)</f>
        <v>0</v>
      </c>
    </row>
    <row r="1082" spans="1:3" ht="15.75" hidden="1" outlineLevel="1">
      <c r="A1082" s="120"/>
      <c r="B1082" s="134" t="s">
        <v>137</v>
      </c>
      <c r="C1082" s="115">
        <f>C1067-C1074</f>
        <v>0</v>
      </c>
    </row>
    <row r="1083" spans="1:3" ht="15.75" hidden="1" outlineLevel="1">
      <c r="A1083" s="120"/>
      <c r="B1083" s="114" t="s">
        <v>32</v>
      </c>
      <c r="C1083" s="115">
        <f>VLOOKUP($E$41,'Анализ стоимости'!$A$4:$DF$38,58,0)</f>
        <v>0</v>
      </c>
    </row>
    <row r="1084" spans="1:3" ht="15.75" hidden="1" outlineLevel="1">
      <c r="A1084" s="120"/>
      <c r="B1084" s="114" t="s">
        <v>82</v>
      </c>
      <c r="C1084" s="115">
        <f>VLOOKUP($E$41,'Анализ стоимости'!$A$4:$DF$38,63,0)</f>
        <v>0</v>
      </c>
    </row>
    <row r="1085" spans="1:3" ht="16.5" hidden="1" outlineLevel="1" thickBot="1">
      <c r="A1085" s="128"/>
      <c r="B1085" s="129" t="s">
        <v>138</v>
      </c>
      <c r="C1085" s="130">
        <f>SUM(C1082:C1084)</f>
        <v>0</v>
      </c>
    </row>
    <row r="1086" spans="1:5" ht="16.5" hidden="1" outlineLevel="1" collapsed="1" thickBot="1">
      <c r="A1086" s="135"/>
      <c r="B1086" s="136" t="s">
        <v>70</v>
      </c>
      <c r="C1086" s="151">
        <f>ROUND(C1077+C1085,0)</f>
        <v>0</v>
      </c>
      <c r="E1086" s="152">
        <f>IF(E$40=0,0,C1086)</f>
        <v>0</v>
      </c>
    </row>
    <row r="1087" spans="1:3" ht="15.75" collapsed="1">
      <c r="A1087" s="137"/>
      <c r="B1087" s="138"/>
      <c r="C1087" s="139"/>
    </row>
    <row r="1088" spans="1:3" ht="15.75">
      <c r="A1088" s="137"/>
      <c r="B1088" s="138"/>
      <c r="C1088" s="139"/>
    </row>
    <row r="1089" spans="1:7" ht="31.5">
      <c r="A1089" s="204" t="str">
        <f>'Анализ стоимости'!$I$37</f>
        <v>Глава Сергиевского сельского поселения Кореновского района</v>
      </c>
      <c r="B1089" s="205"/>
      <c r="C1089" s="141" t="str">
        <f>CONCATENATE("_____________________ ",'Анализ стоимости'!$I$38)</f>
        <v>_____________________ С.А. Басеев </v>
      </c>
      <c r="G1089" s="164" t="str">
        <f>A1089</f>
        <v>Глава Сергиевского сельского поселения Кореновского района</v>
      </c>
    </row>
    <row r="1090" spans="1:7" s="153" customFormat="1" ht="15.75">
      <c r="A1090" s="96"/>
      <c r="B1090" s="144"/>
      <c r="C1090" s="96"/>
      <c r="F1090" s="154"/>
      <c r="G1090" s="165"/>
    </row>
    <row r="1091" spans="1:7" s="153" customFormat="1" ht="15.75">
      <c r="A1091" s="196"/>
      <c r="B1091" s="196"/>
      <c r="C1091" s="94"/>
      <c r="F1091" s="154"/>
      <c r="G1091" s="165"/>
    </row>
    <row r="1092" spans="1:3" ht="15.75">
      <c r="A1092" s="196"/>
      <c r="B1092" s="196"/>
      <c r="C1092" s="94"/>
    </row>
    <row r="1093" spans="1:3" ht="18.75">
      <c r="A1093" s="207" t="s">
        <v>35</v>
      </c>
      <c r="B1093" s="207"/>
      <c r="C1093" s="207"/>
    </row>
    <row r="1094" spans="1:6" ht="63">
      <c r="A1094" s="206" t="str">
        <f>F1094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094" s="206"/>
      <c r="C1094" s="206"/>
      <c r="F1094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095" spans="1:6" ht="15.75">
      <c r="A1095" s="206" t="str">
        <f>F1095</f>
        <v>Наименование объекта: </v>
      </c>
      <c r="B1095" s="206"/>
      <c r="C1095" s="206"/>
      <c r="F1095" s="146" t="str">
        <f>CONCATENATE("Наименование объекта: ",VLOOKUP($E$42,'Анализ стоимости'!$A$4:$DF$38,9,0))</f>
        <v>Наименование объекта: </v>
      </c>
    </row>
    <row r="1096" spans="1:5" ht="15.75">
      <c r="A1096" s="196" t="s">
        <v>53</v>
      </c>
      <c r="B1096" s="196"/>
      <c r="C1096" s="196"/>
      <c r="E1096" s="147"/>
    </row>
    <row r="1097" spans="1:3" ht="15.75">
      <c r="A1097" s="197" t="s">
        <v>109</v>
      </c>
      <c r="B1097" s="197"/>
      <c r="C1097" s="197"/>
    </row>
    <row r="1098" spans="1:3" ht="15.75">
      <c r="A1098" s="197" t="str">
        <f>CONCATENATE("учетом сроков строительства и НДС: ",FIXED(C1128,0)," руб.")</f>
        <v>учетом сроков строительства и НДС: 0 руб.</v>
      </c>
      <c r="B1098" s="197"/>
      <c r="C1098" s="97"/>
    </row>
    <row r="1099" spans="1:7" s="104" customFormat="1" ht="7.5" thickBot="1">
      <c r="A1099" s="148"/>
      <c r="B1099" s="149"/>
      <c r="C1099" s="148"/>
      <c r="F1099" s="150"/>
      <c r="G1099" s="162"/>
    </row>
    <row r="1100" spans="1:3" ht="17.25" thickBot="1" thickTop="1">
      <c r="A1100" s="198" t="s">
        <v>54</v>
      </c>
      <c r="B1100" s="199"/>
      <c r="C1100" s="200"/>
    </row>
    <row r="1101" spans="1:3" ht="39" thickBot="1">
      <c r="A1101" s="107" t="s">
        <v>28</v>
      </c>
      <c r="B1101" s="108" t="s">
        <v>58</v>
      </c>
      <c r="C1101" s="107" t="s">
        <v>141</v>
      </c>
    </row>
    <row r="1102" spans="1:3" ht="15.75">
      <c r="A1102" s="110">
        <v>1</v>
      </c>
      <c r="B1102" s="111" t="s">
        <v>42</v>
      </c>
      <c r="C1102" s="112">
        <f>VLOOKUP($E$42,'Анализ стоимости'!$A$4:$DF$38,11,0)</f>
        <v>0</v>
      </c>
    </row>
    <row r="1103" spans="1:3" ht="15.75">
      <c r="A1103" s="113">
        <v>2</v>
      </c>
      <c r="B1103" s="114" t="s">
        <v>65</v>
      </c>
      <c r="C1103" s="115">
        <f>VLOOKUP($E$42,'Анализ стоимости'!$A$4:$DF$38,12,0)</f>
        <v>0</v>
      </c>
    </row>
    <row r="1104" spans="1:3" ht="31.5">
      <c r="A1104" s="113">
        <v>3</v>
      </c>
      <c r="B1104" s="114" t="s">
        <v>75</v>
      </c>
      <c r="C1104" s="115">
        <f>VLOOKUP($E$42,'Анализ стоимости'!$A$4:$DF$38,13,0)</f>
        <v>0</v>
      </c>
    </row>
    <row r="1105" spans="1:3" ht="15.75">
      <c r="A1105" s="113">
        <v>4</v>
      </c>
      <c r="B1105" s="114" t="s">
        <v>66</v>
      </c>
      <c r="C1105" s="115">
        <f>VLOOKUP($E$42,'Анализ стоимости'!$A$4:$DF$38,14,0)</f>
        <v>0</v>
      </c>
    </row>
    <row r="1106" spans="1:3" ht="15.75">
      <c r="A1106" s="113">
        <v>5</v>
      </c>
      <c r="B1106" s="114" t="s">
        <v>76</v>
      </c>
      <c r="C1106" s="115">
        <f>VLOOKUP($E$42,'Анализ стоимости'!$A$4:$DF$38,15,0)</f>
        <v>0</v>
      </c>
    </row>
    <row r="1107" spans="1:3" ht="15.75">
      <c r="A1107" s="113">
        <v>6</v>
      </c>
      <c r="B1107" s="114" t="s">
        <v>33</v>
      </c>
      <c r="C1107" s="115">
        <f>VLOOKUP($E$42,'Анализ стоимости'!$A$4:$DF$38,19,0)</f>
        <v>0</v>
      </c>
    </row>
    <row r="1108" spans="1:3" ht="15.75">
      <c r="A1108" s="113">
        <v>7</v>
      </c>
      <c r="B1108" s="114" t="s">
        <v>51</v>
      </c>
      <c r="C1108" s="115">
        <f>VLOOKUP($E$42,'Анализ стоимости'!$A$4:$DF$38,20,0)+VLOOKUP($E$42,'Анализ стоимости'!$A$4:$DF$38,22,0)+VLOOKUP($E$42,'Анализ стоимости'!$A$4:$DF$38,23,0)+VLOOKUP($E$42,'Анализ стоимости'!$A$4:$DF$38,24,0)+VLOOKUP($E$42,'Анализ стоимости'!$A$4:$DF$38,25,0)+VLOOKUP($E$42,'Анализ стоимости'!$A$4:$DF$38,26,0)+VLOOKUP($E$42,'Анализ стоимости'!$A$4:$DF$38,27,0)+VLOOKUP($E$42,'Анализ стоимости'!$A$4:$DF$38,28,0)+VLOOKUP($E$42,'Анализ стоимости'!$A$4:$DF$38,33,0)</f>
        <v>0</v>
      </c>
    </row>
    <row r="1109" spans="1:9" ht="16.5" thickBot="1">
      <c r="A1109" s="116"/>
      <c r="B1109" s="117" t="s">
        <v>69</v>
      </c>
      <c r="C1109" s="118">
        <f>SUM(C1102:C1108)</f>
        <v>0</v>
      </c>
      <c r="H1109" s="109"/>
      <c r="I1109" s="109"/>
    </row>
    <row r="1110" spans="1:3" ht="16.5" thickBot="1">
      <c r="A1110" s="201" t="s">
        <v>59</v>
      </c>
      <c r="B1110" s="202"/>
      <c r="C1110" s="203"/>
    </row>
    <row r="1111" spans="1:3" ht="26.25" thickBot="1">
      <c r="A1111" s="119" t="s">
        <v>28</v>
      </c>
      <c r="B1111" s="108" t="s">
        <v>38</v>
      </c>
      <c r="C1111" s="107" t="s">
        <v>60</v>
      </c>
    </row>
    <row r="1112" spans="1:3" ht="15.75">
      <c r="A1112" s="120"/>
      <c r="B1112" s="121" t="s">
        <v>111</v>
      </c>
      <c r="C1112" s="122"/>
    </row>
    <row r="1113" spans="1:3" ht="15.75">
      <c r="A1113" s="120"/>
      <c r="B1113" s="114" t="s">
        <v>39</v>
      </c>
      <c r="C1113" s="123">
        <f>IF(VLOOKUP($E$42,'Анализ стоимости'!$A$4:$DF$38,65,0)=0,0,DATE(2012,VLOOKUP($E$42,'Анализ стоимости'!$A$4:$DF$38,65,0),15))</f>
        <v>40923</v>
      </c>
    </row>
    <row r="1114" spans="1:3" ht="15.75">
      <c r="A1114" s="120"/>
      <c r="B1114" s="114" t="s">
        <v>31</v>
      </c>
      <c r="C1114" s="123">
        <f>IF(C1113=0,0,DATE(2012,VLOOKUP($E$42,'Анализ стоимости'!$A$4:$DF$38,66,0),15))</f>
        <v>41258</v>
      </c>
    </row>
    <row r="1115" spans="1:3" ht="25.5">
      <c r="A1115" s="120"/>
      <c r="B1115" s="124" t="s">
        <v>104</v>
      </c>
      <c r="C1115" s="125">
        <f>IF(C1113=0,0,VLOOKUP($E$42,'Анализ стоимости'!$A$4:$DF$38,71,0)+1)</f>
        <v>1.0725</v>
      </c>
    </row>
    <row r="1116" spans="1:3" ht="15.75">
      <c r="A1116" s="120"/>
      <c r="B1116" s="134" t="s">
        <v>112</v>
      </c>
      <c r="C1116" s="127">
        <f>VLOOKUP($E$42,'Анализ стоимости'!$A$4:$DF$38,43,0)</f>
        <v>0</v>
      </c>
    </row>
    <row r="1117" spans="1:3" ht="15.75">
      <c r="A1117" s="120"/>
      <c r="B1117" s="114" t="s">
        <v>32</v>
      </c>
      <c r="C1117" s="115">
        <f>VLOOKUP($E$42,'Анализ стоимости'!$A$4:$DF$38,48,0)</f>
        <v>0</v>
      </c>
    </row>
    <row r="1118" spans="1:5" ht="15.75">
      <c r="A1118" s="120"/>
      <c r="B1118" s="114" t="s">
        <v>82</v>
      </c>
      <c r="C1118" s="115">
        <f>VLOOKUP($E$42,'Анализ стоимости'!$A$4:$DF$38,53,0)</f>
        <v>0</v>
      </c>
      <c r="E1118" s="140">
        <f>VLOOKUP($E$42,'Анализ стоимости'!$A$4:$DF$38,73,0)</f>
        <v>0</v>
      </c>
    </row>
    <row r="1119" spans="1:5" ht="16.5" thickBot="1">
      <c r="A1119" s="128"/>
      <c r="B1119" s="129" t="s">
        <v>140</v>
      </c>
      <c r="C1119" s="130">
        <f>SUM(C1116:C1118)</f>
        <v>0</v>
      </c>
      <c r="E1119" s="140">
        <f>VLOOKUP($E$42,'Анализ стоимости'!$A$4:$DF$38,64)</f>
        <v>0</v>
      </c>
    </row>
    <row r="1120" spans="1:3" ht="15.75" hidden="1" outlineLevel="1">
      <c r="A1120" s="131"/>
      <c r="B1120" s="132" t="s">
        <v>136</v>
      </c>
      <c r="C1120" s="133"/>
    </row>
    <row r="1121" spans="1:3" ht="15.75" hidden="1" outlineLevel="1">
      <c r="A1121" s="120"/>
      <c r="B1121" s="114" t="s">
        <v>39</v>
      </c>
      <c r="C1121" s="123">
        <f>IF(VLOOKUP($E$42,'Анализ стоимости'!$A$4:$DF$38,7,0)="да",IF(VLOOKUP($E$42,'Анализ стоимости'!$A$4:$DF$38,67,0)=0,0,DATE(2013,VLOOKUP($E$42,'Анализ стоимости'!$A$4:$DF$38,67,0),15)),0)</f>
        <v>0</v>
      </c>
    </row>
    <row r="1122" spans="1:3" ht="15.75" hidden="1" outlineLevel="1">
      <c r="A1122" s="120"/>
      <c r="B1122" s="114" t="s">
        <v>31</v>
      </c>
      <c r="C1122" s="123">
        <f>IF(C1121=0,0,DATE(2013,VLOOKUP($E$42,'Анализ стоимости'!$A$4:$DF$38,68,0),15))</f>
        <v>0</v>
      </c>
    </row>
    <row r="1123" spans="1:3" ht="25.5" hidden="1" outlineLevel="1">
      <c r="A1123" s="120"/>
      <c r="B1123" s="124" t="s">
        <v>104</v>
      </c>
      <c r="C1123" s="125">
        <f>IF(C1121=0,0,VLOOKUP($E$42,'Анализ стоимости'!$A$4:$DF$38,72,0)+1)</f>
        <v>0</v>
      </c>
    </row>
    <row r="1124" spans="1:3" ht="15.75" hidden="1" outlineLevel="1">
      <c r="A1124" s="120"/>
      <c r="B1124" s="134" t="s">
        <v>137</v>
      </c>
      <c r="C1124" s="115">
        <f>C1109-C1116</f>
        <v>0</v>
      </c>
    </row>
    <row r="1125" spans="1:3" ht="15.75" hidden="1" outlineLevel="1">
      <c r="A1125" s="120"/>
      <c r="B1125" s="114" t="s">
        <v>32</v>
      </c>
      <c r="C1125" s="115">
        <f>VLOOKUP($E$42,'Анализ стоимости'!$A$4:$DF$38,58,0)</f>
        <v>0</v>
      </c>
    </row>
    <row r="1126" spans="1:3" ht="15.75" hidden="1" outlineLevel="1">
      <c r="A1126" s="120"/>
      <c r="B1126" s="114" t="s">
        <v>82</v>
      </c>
      <c r="C1126" s="115">
        <f>VLOOKUP($E$42,'Анализ стоимости'!$A$4:$DF$38,63,0)</f>
        <v>0</v>
      </c>
    </row>
    <row r="1127" spans="1:3" ht="16.5" hidden="1" outlineLevel="1" thickBot="1">
      <c r="A1127" s="128"/>
      <c r="B1127" s="129" t="s">
        <v>138</v>
      </c>
      <c r="C1127" s="130">
        <f>SUM(C1124:C1126)</f>
        <v>0</v>
      </c>
    </row>
    <row r="1128" spans="1:5" ht="16.5" hidden="1" outlineLevel="1" collapsed="1" thickBot="1">
      <c r="A1128" s="135"/>
      <c r="B1128" s="136" t="s">
        <v>70</v>
      </c>
      <c r="C1128" s="151">
        <f>ROUND(C1119+C1127,0)</f>
        <v>0</v>
      </c>
      <c r="E1128" s="152">
        <f>IF(E$40=0,0,C1128)</f>
        <v>0</v>
      </c>
    </row>
    <row r="1129" spans="1:3" ht="15.75" collapsed="1">
      <c r="A1129" s="137"/>
      <c r="B1129" s="138"/>
      <c r="C1129" s="139"/>
    </row>
    <row r="1130" spans="1:3" ht="15.75">
      <c r="A1130" s="137"/>
      <c r="B1130" s="138"/>
      <c r="C1130" s="139"/>
    </row>
    <row r="1131" spans="1:7" ht="31.5">
      <c r="A1131" s="204" t="str">
        <f>'Анализ стоимости'!$I$37</f>
        <v>Глава Сергиевского сельского поселения Кореновского района</v>
      </c>
      <c r="B1131" s="205"/>
      <c r="C1131" s="141" t="str">
        <f>CONCATENATE("_____________________ ",'Анализ стоимости'!$I$38)</f>
        <v>_____________________ С.А. Басеев </v>
      </c>
      <c r="G1131" s="164" t="str">
        <f>A1131</f>
        <v>Глава Сергиевского сельского поселения Кореновского района</v>
      </c>
    </row>
    <row r="1132" spans="1:7" s="153" customFormat="1" ht="15.75">
      <c r="A1132" s="96"/>
      <c r="B1132" s="144"/>
      <c r="C1132" s="96"/>
      <c r="F1132" s="154"/>
      <c r="G1132" s="165"/>
    </row>
    <row r="1133" spans="1:7" s="153" customFormat="1" ht="15.75">
      <c r="A1133" s="196"/>
      <c r="B1133" s="196"/>
      <c r="C1133" s="94"/>
      <c r="F1133" s="154"/>
      <c r="G1133" s="165"/>
    </row>
    <row r="1134" spans="1:3" ht="15.75">
      <c r="A1134" s="196"/>
      <c r="B1134" s="196"/>
      <c r="C1134" s="94"/>
    </row>
    <row r="1135" spans="1:3" ht="18.75">
      <c r="A1135" s="207" t="s">
        <v>35</v>
      </c>
      <c r="B1135" s="207"/>
      <c r="C1135" s="207"/>
    </row>
    <row r="1136" spans="1:6" ht="63">
      <c r="A1136" s="206" t="str">
        <f>F1136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136" s="206"/>
      <c r="C1136" s="206"/>
      <c r="F1136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137" spans="1:6" ht="15.75">
      <c r="A1137" s="206" t="str">
        <f>F1137</f>
        <v>Наименование объекта: </v>
      </c>
      <c r="B1137" s="206"/>
      <c r="C1137" s="206"/>
      <c r="F1137" s="146" t="str">
        <f>CONCATENATE("Наименование объекта: ",VLOOKUP($E$43,'Анализ стоимости'!$A$4:$DF$38,9,0))</f>
        <v>Наименование объекта: </v>
      </c>
    </row>
    <row r="1138" spans="1:5" ht="15.75">
      <c r="A1138" s="196" t="s">
        <v>53</v>
      </c>
      <c r="B1138" s="196"/>
      <c r="C1138" s="196"/>
      <c r="E1138" s="147"/>
    </row>
    <row r="1139" spans="1:3" ht="15.75">
      <c r="A1139" s="197" t="s">
        <v>109</v>
      </c>
      <c r="B1139" s="197"/>
      <c r="C1139" s="197"/>
    </row>
    <row r="1140" spans="1:3" ht="15.75">
      <c r="A1140" s="197" t="str">
        <f>CONCATENATE("учетом сроков строительства и НДС: ",FIXED(C1170,0)," руб.")</f>
        <v>учетом сроков строительства и НДС: 0 руб.</v>
      </c>
      <c r="B1140" s="197"/>
      <c r="C1140" s="97"/>
    </row>
    <row r="1141" spans="1:7" s="104" customFormat="1" ht="7.5" thickBot="1">
      <c r="A1141" s="148"/>
      <c r="B1141" s="149"/>
      <c r="C1141" s="148"/>
      <c r="F1141" s="150"/>
      <c r="G1141" s="162"/>
    </row>
    <row r="1142" spans="1:3" ht="17.25" thickBot="1" thickTop="1">
      <c r="A1142" s="198" t="s">
        <v>54</v>
      </c>
      <c r="B1142" s="199"/>
      <c r="C1142" s="200"/>
    </row>
    <row r="1143" spans="1:3" ht="39" thickBot="1">
      <c r="A1143" s="107" t="s">
        <v>28</v>
      </c>
      <c r="B1143" s="108" t="s">
        <v>58</v>
      </c>
      <c r="C1143" s="107" t="s">
        <v>141</v>
      </c>
    </row>
    <row r="1144" spans="1:3" ht="15.75">
      <c r="A1144" s="110">
        <v>1</v>
      </c>
      <c r="B1144" s="111" t="s">
        <v>42</v>
      </c>
      <c r="C1144" s="112">
        <f>VLOOKUP($E$43,'Анализ стоимости'!$A$4:$DF$38,11,0)</f>
        <v>0</v>
      </c>
    </row>
    <row r="1145" spans="1:3" ht="15.75">
      <c r="A1145" s="113">
        <v>2</v>
      </c>
      <c r="B1145" s="114" t="s">
        <v>65</v>
      </c>
      <c r="C1145" s="115">
        <f>VLOOKUP($E$43,'Анализ стоимости'!$A$4:$DF$38,12,0)</f>
        <v>0</v>
      </c>
    </row>
    <row r="1146" spans="1:3" ht="31.5">
      <c r="A1146" s="113">
        <v>3</v>
      </c>
      <c r="B1146" s="114" t="s">
        <v>75</v>
      </c>
      <c r="C1146" s="115">
        <f>VLOOKUP($E$43,'Анализ стоимости'!$A$4:$DF$38,13,0)</f>
        <v>0</v>
      </c>
    </row>
    <row r="1147" spans="1:3" ht="15.75">
      <c r="A1147" s="113">
        <v>4</v>
      </c>
      <c r="B1147" s="114" t="s">
        <v>66</v>
      </c>
      <c r="C1147" s="115">
        <f>VLOOKUP($E$43,'Анализ стоимости'!$A$4:$DF$38,14,0)</f>
        <v>0</v>
      </c>
    </row>
    <row r="1148" spans="1:3" ht="15.75">
      <c r="A1148" s="113">
        <v>5</v>
      </c>
      <c r="B1148" s="114" t="s">
        <v>76</v>
      </c>
      <c r="C1148" s="115">
        <f>VLOOKUP($E$43,'Анализ стоимости'!$A$4:$DF$38,15,0)</f>
        <v>0</v>
      </c>
    </row>
    <row r="1149" spans="1:3" ht="15.75">
      <c r="A1149" s="113">
        <v>6</v>
      </c>
      <c r="B1149" s="114" t="s">
        <v>33</v>
      </c>
      <c r="C1149" s="115">
        <f>VLOOKUP($E$43,'Анализ стоимости'!$A$4:$DF$38,19,0)</f>
        <v>0</v>
      </c>
    </row>
    <row r="1150" spans="1:3" ht="15.75">
      <c r="A1150" s="113">
        <v>7</v>
      </c>
      <c r="B1150" s="114" t="s">
        <v>51</v>
      </c>
      <c r="C1150" s="115">
        <f>VLOOKUP($E$43,'Анализ стоимости'!$A$4:$DF$38,20,0)+VLOOKUP($E$43,'Анализ стоимости'!$A$4:$DF$38,22,0)+VLOOKUP($E$43,'Анализ стоимости'!$A$4:$DF$38,23,0)+VLOOKUP($E$43,'Анализ стоимости'!$A$4:$DF$38,24,0)+VLOOKUP($E$43,'Анализ стоимости'!$A$4:$DF$38,25,0)+VLOOKUP($E$43,'Анализ стоимости'!$A$4:$DF$38,26,0)+VLOOKUP($E$43,'Анализ стоимости'!$A$4:$DF$38,27,0)+VLOOKUP($E$43,'Анализ стоимости'!$A$4:$DF$38,28,0)+VLOOKUP($E$43,'Анализ стоимости'!$A$4:$DF$38,33,0)</f>
        <v>0</v>
      </c>
    </row>
    <row r="1151" spans="1:9" ht="16.5" thickBot="1">
      <c r="A1151" s="116"/>
      <c r="B1151" s="117" t="s">
        <v>69</v>
      </c>
      <c r="C1151" s="118">
        <f>SUM(C1144:C1150)</f>
        <v>0</v>
      </c>
      <c r="H1151" s="109"/>
      <c r="I1151" s="109"/>
    </row>
    <row r="1152" spans="1:3" ht="16.5" thickBot="1">
      <c r="A1152" s="201" t="s">
        <v>59</v>
      </c>
      <c r="B1152" s="202"/>
      <c r="C1152" s="203"/>
    </row>
    <row r="1153" spans="1:3" ht="26.25" thickBot="1">
      <c r="A1153" s="119" t="s">
        <v>28</v>
      </c>
      <c r="B1153" s="108" t="s">
        <v>38</v>
      </c>
      <c r="C1153" s="107" t="s">
        <v>60</v>
      </c>
    </row>
    <row r="1154" spans="1:3" ht="15.75">
      <c r="A1154" s="120"/>
      <c r="B1154" s="121" t="s">
        <v>111</v>
      </c>
      <c r="C1154" s="122"/>
    </row>
    <row r="1155" spans="1:3" ht="15.75">
      <c r="A1155" s="120"/>
      <c r="B1155" s="114" t="s">
        <v>39</v>
      </c>
      <c r="C1155" s="123">
        <f>IF(VLOOKUP($E$43,'Анализ стоимости'!$A$4:$DF$38,65,0)=0,0,DATE(2012,VLOOKUP($E$43,'Анализ стоимости'!$A$4:$DF$38,65,0),15))</f>
        <v>40923</v>
      </c>
    </row>
    <row r="1156" spans="1:3" ht="15.75">
      <c r="A1156" s="120"/>
      <c r="B1156" s="114" t="s">
        <v>31</v>
      </c>
      <c r="C1156" s="123">
        <f>IF(C1155=0,0,DATE(2012,VLOOKUP($E$43,'Анализ стоимости'!$A$4:$DF$38,66,0),15))</f>
        <v>41258</v>
      </c>
    </row>
    <row r="1157" spans="1:3" ht="25.5">
      <c r="A1157" s="120"/>
      <c r="B1157" s="124" t="s">
        <v>104</v>
      </c>
      <c r="C1157" s="125">
        <f>IF(C1155=0,0,VLOOKUP($E$43,'Анализ стоимости'!$A$4:$DF$38,71,0)+1)</f>
        <v>1.0725</v>
      </c>
    </row>
    <row r="1158" spans="1:3" ht="15.75">
      <c r="A1158" s="120"/>
      <c r="B1158" s="134" t="s">
        <v>112</v>
      </c>
      <c r="C1158" s="127">
        <f>VLOOKUP($E$43,'Анализ стоимости'!$A$4:$DF$38,43,0)</f>
        <v>0</v>
      </c>
    </row>
    <row r="1159" spans="1:3" ht="15.75">
      <c r="A1159" s="120"/>
      <c r="B1159" s="114" t="s">
        <v>32</v>
      </c>
      <c r="C1159" s="115">
        <f>VLOOKUP($E$43,'Анализ стоимости'!$A$4:$DF$38,48,0)</f>
        <v>0</v>
      </c>
    </row>
    <row r="1160" spans="1:5" ht="15.75">
      <c r="A1160" s="120"/>
      <c r="B1160" s="114" t="s">
        <v>82</v>
      </c>
      <c r="C1160" s="115">
        <f>VLOOKUP($E$43,'Анализ стоимости'!$A$4:$DF$38,53,0)</f>
        <v>0</v>
      </c>
      <c r="E1160" s="140">
        <f>VLOOKUP($E$43,'Анализ стоимости'!$A$4:$DF$38,73,0)</f>
        <v>0</v>
      </c>
    </row>
    <row r="1161" spans="1:5" ht="16.5" thickBot="1">
      <c r="A1161" s="128"/>
      <c r="B1161" s="129" t="s">
        <v>140</v>
      </c>
      <c r="C1161" s="130">
        <f>SUM(C1158:C1160)</f>
        <v>0</v>
      </c>
      <c r="E1161" s="140">
        <f>VLOOKUP($E$43,'Анализ стоимости'!$A$4:$DF$38,64)</f>
        <v>0</v>
      </c>
    </row>
    <row r="1162" spans="1:3" ht="15.75" hidden="1" outlineLevel="1">
      <c r="A1162" s="131"/>
      <c r="B1162" s="132" t="s">
        <v>136</v>
      </c>
      <c r="C1162" s="133"/>
    </row>
    <row r="1163" spans="1:3" ht="15.75" hidden="1" outlineLevel="1">
      <c r="A1163" s="120"/>
      <c r="B1163" s="114" t="s">
        <v>39</v>
      </c>
      <c r="C1163" s="123">
        <f>IF(VLOOKUP($E$43,'Анализ стоимости'!$A$4:$DF$38,7,0)="да",IF(VLOOKUP($E$43,'Анализ стоимости'!$A$4:$DF$38,67,0)=0,0,DATE(2013,VLOOKUP($E$43,'Анализ стоимости'!$A$4:$DF$38,67,0),15)),0)</f>
        <v>0</v>
      </c>
    </row>
    <row r="1164" spans="1:3" ht="15.75" hidden="1" outlineLevel="1">
      <c r="A1164" s="120"/>
      <c r="B1164" s="114" t="s">
        <v>31</v>
      </c>
      <c r="C1164" s="123">
        <f>IF(C1163=0,0,DATE(2013,VLOOKUP($E$43,'Анализ стоимости'!$A$4:$DF$38,68,0),15))</f>
        <v>0</v>
      </c>
    </row>
    <row r="1165" spans="1:3" ht="25.5" hidden="1" outlineLevel="1">
      <c r="A1165" s="120"/>
      <c r="B1165" s="124" t="s">
        <v>104</v>
      </c>
      <c r="C1165" s="125">
        <f>IF(C1163=0,0,VLOOKUP($E$43,'Анализ стоимости'!$A$4:$DF$38,72,0)+1)</f>
        <v>0</v>
      </c>
    </row>
    <row r="1166" spans="1:3" ht="15.75" hidden="1" outlineLevel="1">
      <c r="A1166" s="120"/>
      <c r="B1166" s="134" t="s">
        <v>137</v>
      </c>
      <c r="C1166" s="115">
        <f>C1151-C1158</f>
        <v>0</v>
      </c>
    </row>
    <row r="1167" spans="1:3" ht="15.75" hidden="1" outlineLevel="1">
      <c r="A1167" s="120"/>
      <c r="B1167" s="114" t="s">
        <v>32</v>
      </c>
      <c r="C1167" s="115">
        <f>VLOOKUP($E$43,'Анализ стоимости'!$A$4:$DF$38,58,0)</f>
        <v>0</v>
      </c>
    </row>
    <row r="1168" spans="1:3" ht="15.75" hidden="1" outlineLevel="1">
      <c r="A1168" s="120"/>
      <c r="B1168" s="114" t="s">
        <v>82</v>
      </c>
      <c r="C1168" s="115">
        <f>VLOOKUP($E$43,'Анализ стоимости'!$A$4:$DF$38,63,0)</f>
        <v>0</v>
      </c>
    </row>
    <row r="1169" spans="1:3" ht="16.5" hidden="1" outlineLevel="1" thickBot="1">
      <c r="A1169" s="128"/>
      <c r="B1169" s="129" t="s">
        <v>138</v>
      </c>
      <c r="C1169" s="130">
        <f>SUM(C1166:C1168)</f>
        <v>0</v>
      </c>
    </row>
    <row r="1170" spans="1:5" ht="16.5" hidden="1" outlineLevel="1" collapsed="1" thickBot="1">
      <c r="A1170" s="135"/>
      <c r="B1170" s="136" t="s">
        <v>70</v>
      </c>
      <c r="C1170" s="151">
        <f>ROUND(C1161+C1169,0)</f>
        <v>0</v>
      </c>
      <c r="E1170" s="152">
        <f>IF(E$40=0,0,C1170)</f>
        <v>0</v>
      </c>
    </row>
    <row r="1171" spans="1:3" ht="15.75" collapsed="1">
      <c r="A1171" s="137"/>
      <c r="B1171" s="138"/>
      <c r="C1171" s="139"/>
    </row>
    <row r="1172" spans="1:3" ht="15.75">
      <c r="A1172" s="137"/>
      <c r="B1172" s="138"/>
      <c r="C1172" s="139"/>
    </row>
    <row r="1173" spans="1:7" ht="31.5">
      <c r="A1173" s="204" t="str">
        <f>'Анализ стоимости'!$I$37</f>
        <v>Глава Сергиевского сельского поселения Кореновского района</v>
      </c>
      <c r="B1173" s="205"/>
      <c r="C1173" s="141" t="str">
        <f>CONCATENATE("_____________________ ",'Анализ стоимости'!$I$38)</f>
        <v>_____________________ С.А. Басеев </v>
      </c>
      <c r="G1173" s="164" t="str">
        <f>A1173</f>
        <v>Глава Сергиевского сельского поселения Кореновского района</v>
      </c>
    </row>
    <row r="1174" spans="1:7" s="153" customFormat="1" ht="15.75">
      <c r="A1174" s="96"/>
      <c r="B1174" s="144"/>
      <c r="C1174" s="96"/>
      <c r="F1174" s="154"/>
      <c r="G1174" s="165"/>
    </row>
    <row r="1175" spans="1:7" s="153" customFormat="1" ht="15.75">
      <c r="A1175" s="196"/>
      <c r="B1175" s="196"/>
      <c r="C1175" s="94"/>
      <c r="F1175" s="154"/>
      <c r="G1175" s="165"/>
    </row>
    <row r="1176" spans="1:3" ht="15.75">
      <c r="A1176" s="196"/>
      <c r="B1176" s="196"/>
      <c r="C1176" s="94"/>
    </row>
    <row r="1177" spans="1:3" ht="18.75">
      <c r="A1177" s="207" t="s">
        <v>35</v>
      </c>
      <c r="B1177" s="207"/>
      <c r="C1177" s="207"/>
    </row>
    <row r="1178" spans="1:6" ht="63">
      <c r="A1178" s="206" t="str">
        <f>F1178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178" s="206"/>
      <c r="C1178" s="206"/>
      <c r="F1178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179" spans="1:6" ht="15.75">
      <c r="A1179" s="206" t="str">
        <f>F1179</f>
        <v>Наименование объекта: </v>
      </c>
      <c r="B1179" s="206"/>
      <c r="C1179" s="206"/>
      <c r="F1179" s="146" t="str">
        <f>CONCATENATE("Наименование объекта: ",VLOOKUP($E$44,'Анализ стоимости'!$A$4:$DF$38,9,0))</f>
        <v>Наименование объекта: </v>
      </c>
    </row>
    <row r="1180" spans="1:5" ht="15.75">
      <c r="A1180" s="196" t="s">
        <v>53</v>
      </c>
      <c r="B1180" s="196"/>
      <c r="C1180" s="196"/>
      <c r="E1180" s="147"/>
    </row>
    <row r="1181" spans="1:3" ht="15.75">
      <c r="A1181" s="197" t="s">
        <v>109</v>
      </c>
      <c r="B1181" s="197"/>
      <c r="C1181" s="197"/>
    </row>
    <row r="1182" spans="1:3" ht="15.75">
      <c r="A1182" s="197" t="str">
        <f>CONCATENATE("учетом сроков строительства и НДС: ",FIXED(C1212,0)," руб.")</f>
        <v>учетом сроков строительства и НДС: 0 руб.</v>
      </c>
      <c r="B1182" s="197"/>
      <c r="C1182" s="97"/>
    </row>
    <row r="1183" spans="1:7" s="104" customFormat="1" ht="7.5" thickBot="1">
      <c r="A1183" s="148"/>
      <c r="B1183" s="149"/>
      <c r="C1183" s="148"/>
      <c r="F1183" s="150"/>
      <c r="G1183" s="162"/>
    </row>
    <row r="1184" spans="1:3" ht="17.25" thickBot="1" thickTop="1">
      <c r="A1184" s="198" t="s">
        <v>54</v>
      </c>
      <c r="B1184" s="199"/>
      <c r="C1184" s="200"/>
    </row>
    <row r="1185" spans="1:3" ht="39" thickBot="1">
      <c r="A1185" s="107" t="s">
        <v>28</v>
      </c>
      <c r="B1185" s="108" t="s">
        <v>58</v>
      </c>
      <c r="C1185" s="107" t="s">
        <v>141</v>
      </c>
    </row>
    <row r="1186" spans="1:3" ht="15.75">
      <c r="A1186" s="110">
        <v>1</v>
      </c>
      <c r="B1186" s="111" t="s">
        <v>42</v>
      </c>
      <c r="C1186" s="112">
        <f>VLOOKUP($E$44,'Анализ стоимости'!$A$4:$DF$38,11,0)</f>
        <v>0</v>
      </c>
    </row>
    <row r="1187" spans="1:3" ht="15.75">
      <c r="A1187" s="113">
        <v>2</v>
      </c>
      <c r="B1187" s="114" t="s">
        <v>65</v>
      </c>
      <c r="C1187" s="115">
        <f>VLOOKUP($E$44,'Анализ стоимости'!$A$4:$DF$38,12,0)</f>
        <v>0</v>
      </c>
    </row>
    <row r="1188" spans="1:3" ht="31.5">
      <c r="A1188" s="113">
        <v>3</v>
      </c>
      <c r="B1188" s="114" t="s">
        <v>75</v>
      </c>
      <c r="C1188" s="115">
        <f>VLOOKUP($E$44,'Анализ стоимости'!$A$4:$DF$38,13,0)</f>
        <v>0</v>
      </c>
    </row>
    <row r="1189" spans="1:3" ht="15.75">
      <c r="A1189" s="113">
        <v>4</v>
      </c>
      <c r="B1189" s="114" t="s">
        <v>66</v>
      </c>
      <c r="C1189" s="115">
        <f>VLOOKUP($E$44,'Анализ стоимости'!$A$4:$DF$38,14,0)</f>
        <v>0</v>
      </c>
    </row>
    <row r="1190" spans="1:3" ht="15.75">
      <c r="A1190" s="113">
        <v>5</v>
      </c>
      <c r="B1190" s="114" t="s">
        <v>76</v>
      </c>
      <c r="C1190" s="115">
        <f>VLOOKUP($E$44,'Анализ стоимости'!$A$4:$DF$38,15,0)</f>
        <v>0</v>
      </c>
    </row>
    <row r="1191" spans="1:3" ht="15.75">
      <c r="A1191" s="113">
        <v>6</v>
      </c>
      <c r="B1191" s="114" t="s">
        <v>33</v>
      </c>
      <c r="C1191" s="115">
        <f>VLOOKUP($E$44,'Анализ стоимости'!$A$4:$DF$38,19,0)</f>
        <v>0</v>
      </c>
    </row>
    <row r="1192" spans="1:3" ht="15.75">
      <c r="A1192" s="113">
        <v>7</v>
      </c>
      <c r="B1192" s="114" t="s">
        <v>51</v>
      </c>
      <c r="C1192" s="115">
        <f>VLOOKUP($E$44,'Анализ стоимости'!$A$4:$DF$38,20,0)+VLOOKUP($E$44,'Анализ стоимости'!$A$4:$DF$38,22,0)+VLOOKUP($E$44,'Анализ стоимости'!$A$4:$DF$38,23,0)+VLOOKUP($E$44,'Анализ стоимости'!$A$4:$DF$38,24,0)+VLOOKUP($E$44,'Анализ стоимости'!$A$4:$DF$38,25,0)+VLOOKUP($E$44,'Анализ стоимости'!$A$4:$DF$38,26,0)+VLOOKUP($E$44,'Анализ стоимости'!$A$4:$DF$38,27,0)+VLOOKUP($E$44,'Анализ стоимости'!$A$4:$DF$38,28,0)+VLOOKUP($E$44,'Анализ стоимости'!$A$4:$DF$38,33,0)</f>
        <v>0</v>
      </c>
    </row>
    <row r="1193" spans="1:9" ht="16.5" thickBot="1">
      <c r="A1193" s="116"/>
      <c r="B1193" s="117" t="s">
        <v>69</v>
      </c>
      <c r="C1193" s="118">
        <f>SUM(C1186:C1192)</f>
        <v>0</v>
      </c>
      <c r="H1193" s="109"/>
      <c r="I1193" s="109"/>
    </row>
    <row r="1194" spans="1:3" ht="16.5" thickBot="1">
      <c r="A1194" s="201" t="s">
        <v>59</v>
      </c>
      <c r="B1194" s="202"/>
      <c r="C1194" s="203"/>
    </row>
    <row r="1195" spans="1:3" ht="26.25" thickBot="1">
      <c r="A1195" s="119" t="s">
        <v>28</v>
      </c>
      <c r="B1195" s="108" t="s">
        <v>38</v>
      </c>
      <c r="C1195" s="107" t="s">
        <v>60</v>
      </c>
    </row>
    <row r="1196" spans="1:3" ht="15.75">
      <c r="A1196" s="120"/>
      <c r="B1196" s="121" t="s">
        <v>111</v>
      </c>
      <c r="C1196" s="122"/>
    </row>
    <row r="1197" spans="1:3" ht="15.75">
      <c r="A1197" s="120"/>
      <c r="B1197" s="114" t="s">
        <v>39</v>
      </c>
      <c r="C1197" s="123">
        <f>IF(VLOOKUP($E$44,'Анализ стоимости'!$A$4:$DF$38,65,0)=0,0,DATE(2012,VLOOKUP($E$44,'Анализ стоимости'!$A$4:$DF$38,65,0),15))</f>
        <v>40923</v>
      </c>
    </row>
    <row r="1198" spans="1:3" ht="15.75">
      <c r="A1198" s="120"/>
      <c r="B1198" s="114" t="s">
        <v>31</v>
      </c>
      <c r="C1198" s="123">
        <f>IF(C1197=0,0,DATE(2012,VLOOKUP($E$44,'Анализ стоимости'!$A$4:$DF$38,66,0),15))</f>
        <v>41258</v>
      </c>
    </row>
    <row r="1199" spans="1:3" ht="25.5">
      <c r="A1199" s="120"/>
      <c r="B1199" s="124" t="s">
        <v>104</v>
      </c>
      <c r="C1199" s="125">
        <f>IF(C1197=0,0,VLOOKUP($E$44,'Анализ стоимости'!$A$4:$DF$38,71,0)+1)</f>
        <v>1.0725</v>
      </c>
    </row>
    <row r="1200" spans="1:3" ht="15.75">
      <c r="A1200" s="120"/>
      <c r="B1200" s="134" t="s">
        <v>112</v>
      </c>
      <c r="C1200" s="127">
        <f>VLOOKUP($E$44,'Анализ стоимости'!$A$4:$DF$38,43,0)</f>
        <v>0</v>
      </c>
    </row>
    <row r="1201" spans="1:3" ht="15.75">
      <c r="A1201" s="120"/>
      <c r="B1201" s="114" t="s">
        <v>32</v>
      </c>
      <c r="C1201" s="115">
        <f>VLOOKUP($E$44,'Анализ стоимости'!$A$4:$DF$38,48,0)</f>
        <v>0</v>
      </c>
    </row>
    <row r="1202" spans="1:5" ht="15.75">
      <c r="A1202" s="120"/>
      <c r="B1202" s="114" t="s">
        <v>82</v>
      </c>
      <c r="C1202" s="115">
        <f>VLOOKUP($E$44,'Анализ стоимости'!$A$4:$DF$38,53,0)</f>
        <v>0</v>
      </c>
      <c r="E1202" s="140">
        <f>VLOOKUP($E$44,'Анализ стоимости'!$A$4:$DF$38,73,0)</f>
        <v>0</v>
      </c>
    </row>
    <row r="1203" spans="1:5" ht="16.5" thickBot="1">
      <c r="A1203" s="128"/>
      <c r="B1203" s="129" t="s">
        <v>140</v>
      </c>
      <c r="C1203" s="130">
        <f>SUM(C1200:C1202)</f>
        <v>0</v>
      </c>
      <c r="E1203" s="140">
        <f>VLOOKUP($E$44,'Анализ стоимости'!$A$4:$DF$38,64)</f>
        <v>0</v>
      </c>
    </row>
    <row r="1204" spans="1:3" ht="15.75" hidden="1" outlineLevel="1">
      <c r="A1204" s="131"/>
      <c r="B1204" s="132" t="s">
        <v>136</v>
      </c>
      <c r="C1204" s="133"/>
    </row>
    <row r="1205" spans="1:3" ht="15.75" hidden="1" outlineLevel="1">
      <c r="A1205" s="120"/>
      <c r="B1205" s="114" t="s">
        <v>39</v>
      </c>
      <c r="C1205" s="123">
        <f>IF(VLOOKUP($E$44,'Анализ стоимости'!$A$4:$DF$38,7,0)="да",IF(VLOOKUP($E$44,'Анализ стоимости'!$A$4:$DF$38,67,0)=0,0,DATE(2013,VLOOKUP($E$44,'Анализ стоимости'!$A$4:$DF$38,67,0),15)),0)</f>
        <v>0</v>
      </c>
    </row>
    <row r="1206" spans="1:3" ht="15.75" hidden="1" outlineLevel="1">
      <c r="A1206" s="120"/>
      <c r="B1206" s="114" t="s">
        <v>31</v>
      </c>
      <c r="C1206" s="123">
        <f>IF(C1205=0,0,DATE(2013,VLOOKUP($E$44,'Анализ стоимости'!$A$4:$DF$38,68,0),15))</f>
        <v>0</v>
      </c>
    </row>
    <row r="1207" spans="1:3" ht="25.5" hidden="1" outlineLevel="1">
      <c r="A1207" s="120"/>
      <c r="B1207" s="124" t="s">
        <v>104</v>
      </c>
      <c r="C1207" s="125">
        <f>IF(C1205=0,0,VLOOKUP($E$44,'Анализ стоимости'!$A$4:$DF$38,72,0)+1)</f>
        <v>0</v>
      </c>
    </row>
    <row r="1208" spans="1:3" ht="15.75" hidden="1" outlineLevel="1">
      <c r="A1208" s="120"/>
      <c r="B1208" s="134" t="s">
        <v>137</v>
      </c>
      <c r="C1208" s="115">
        <f>C1193-C1200</f>
        <v>0</v>
      </c>
    </row>
    <row r="1209" spans="1:3" ht="15.75" hidden="1" outlineLevel="1">
      <c r="A1209" s="120"/>
      <c r="B1209" s="114" t="s">
        <v>32</v>
      </c>
      <c r="C1209" s="115">
        <f>VLOOKUP($E$44,'Анализ стоимости'!$A$4:$DF$38,58,0)</f>
        <v>0</v>
      </c>
    </row>
    <row r="1210" spans="1:3" ht="15.75" hidden="1" outlineLevel="1">
      <c r="A1210" s="120"/>
      <c r="B1210" s="114" t="s">
        <v>82</v>
      </c>
      <c r="C1210" s="115">
        <f>VLOOKUP($E$44,'Анализ стоимости'!$A$4:$DF$38,63,0)</f>
        <v>0</v>
      </c>
    </row>
    <row r="1211" spans="1:3" ht="16.5" hidden="1" outlineLevel="1" thickBot="1">
      <c r="A1211" s="128"/>
      <c r="B1211" s="129" t="s">
        <v>138</v>
      </c>
      <c r="C1211" s="130">
        <f>SUM(C1208:C1210)</f>
        <v>0</v>
      </c>
    </row>
    <row r="1212" spans="1:5" ht="16.5" hidden="1" outlineLevel="1" collapsed="1" thickBot="1">
      <c r="A1212" s="135"/>
      <c r="B1212" s="136" t="s">
        <v>70</v>
      </c>
      <c r="C1212" s="151">
        <f>ROUND(C1203+C1211,0)</f>
        <v>0</v>
      </c>
      <c r="E1212" s="152">
        <f>IF(E$40=0,0,C1212)</f>
        <v>0</v>
      </c>
    </row>
    <row r="1213" spans="1:3" ht="15.75" collapsed="1">
      <c r="A1213" s="137"/>
      <c r="B1213" s="138"/>
      <c r="C1213" s="139"/>
    </row>
    <row r="1214" spans="1:3" ht="15.75">
      <c r="A1214" s="137"/>
      <c r="B1214" s="138"/>
      <c r="C1214" s="139"/>
    </row>
    <row r="1215" spans="1:7" ht="31.5">
      <c r="A1215" s="204" t="str">
        <f>'Анализ стоимости'!$I$37</f>
        <v>Глава Сергиевского сельского поселения Кореновского района</v>
      </c>
      <c r="B1215" s="205"/>
      <c r="C1215" s="141" t="str">
        <f>CONCATENATE("_____________________ ",'Анализ стоимости'!$I$38)</f>
        <v>_____________________ С.А. Басеев </v>
      </c>
      <c r="G1215" s="164" t="str">
        <f>A1215</f>
        <v>Глава Сергиевского сельского поселения Кореновского района</v>
      </c>
    </row>
    <row r="1216" spans="1:7" s="153" customFormat="1" ht="15.75">
      <c r="A1216" s="96"/>
      <c r="B1216" s="144"/>
      <c r="C1216" s="96"/>
      <c r="F1216" s="154"/>
      <c r="G1216" s="165"/>
    </row>
    <row r="1217" spans="1:7" s="153" customFormat="1" ht="15.75">
      <c r="A1217" s="196"/>
      <c r="B1217" s="196"/>
      <c r="C1217" s="94"/>
      <c r="F1217" s="154"/>
      <c r="G1217" s="165"/>
    </row>
    <row r="1218" spans="1:3" ht="15.75">
      <c r="A1218" s="196"/>
      <c r="B1218" s="196"/>
      <c r="C1218" s="94"/>
    </row>
    <row r="1219" spans="1:3" ht="18.75">
      <c r="A1219" s="207" t="s">
        <v>35</v>
      </c>
      <c r="B1219" s="207"/>
      <c r="C1219" s="207"/>
    </row>
    <row r="1220" spans="1:6" ht="63">
      <c r="A1220" s="206" t="str">
        <f>F1220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220" s="206"/>
      <c r="C1220" s="206"/>
      <c r="F1220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221" spans="1:6" ht="15.75">
      <c r="A1221" s="206" t="str">
        <f>F1221</f>
        <v>Наименование объекта: </v>
      </c>
      <c r="B1221" s="206"/>
      <c r="C1221" s="206"/>
      <c r="F1221" s="146" t="str">
        <f>CONCATENATE("Наименование объекта: ",VLOOKUP($E$45,'Анализ стоимости'!$A$4:$DF$38,9,0))</f>
        <v>Наименование объекта: </v>
      </c>
    </row>
    <row r="1222" spans="1:5" ht="15.75">
      <c r="A1222" s="196" t="s">
        <v>53</v>
      </c>
      <c r="B1222" s="196"/>
      <c r="C1222" s="196"/>
      <c r="E1222" s="147"/>
    </row>
    <row r="1223" spans="1:3" ht="15.75">
      <c r="A1223" s="197" t="s">
        <v>109</v>
      </c>
      <c r="B1223" s="197"/>
      <c r="C1223" s="197"/>
    </row>
    <row r="1224" spans="1:3" ht="15.75">
      <c r="A1224" s="197" t="str">
        <f>CONCATENATE("учетом сроков строительства и НДС: ",FIXED(C1254,0)," руб.")</f>
        <v>учетом сроков строительства и НДС: 0 руб.</v>
      </c>
      <c r="B1224" s="197"/>
      <c r="C1224" s="97"/>
    </row>
    <row r="1225" spans="1:7" s="104" customFormat="1" ht="7.5" thickBot="1">
      <c r="A1225" s="148"/>
      <c r="B1225" s="149"/>
      <c r="C1225" s="148"/>
      <c r="F1225" s="150"/>
      <c r="G1225" s="162"/>
    </row>
    <row r="1226" spans="1:3" ht="17.25" thickBot="1" thickTop="1">
      <c r="A1226" s="198" t="s">
        <v>54</v>
      </c>
      <c r="B1226" s="199"/>
      <c r="C1226" s="200"/>
    </row>
    <row r="1227" spans="1:3" ht="39" thickBot="1">
      <c r="A1227" s="107" t="s">
        <v>28</v>
      </c>
      <c r="B1227" s="108" t="s">
        <v>58</v>
      </c>
      <c r="C1227" s="107" t="s">
        <v>141</v>
      </c>
    </row>
    <row r="1228" spans="1:3" ht="15.75">
      <c r="A1228" s="110">
        <v>1</v>
      </c>
      <c r="B1228" s="111" t="s">
        <v>42</v>
      </c>
      <c r="C1228" s="112">
        <f>VLOOKUP($E$45,'Анализ стоимости'!$A$4:$DF$38,11,0)</f>
        <v>0</v>
      </c>
    </row>
    <row r="1229" spans="1:3" ht="15.75">
      <c r="A1229" s="113">
        <v>2</v>
      </c>
      <c r="B1229" s="114" t="s">
        <v>65</v>
      </c>
      <c r="C1229" s="115">
        <f>VLOOKUP($E$45,'Анализ стоимости'!$A$4:$DF$38,12,0)</f>
        <v>0</v>
      </c>
    </row>
    <row r="1230" spans="1:3" ht="31.5">
      <c r="A1230" s="113">
        <v>3</v>
      </c>
      <c r="B1230" s="114" t="s">
        <v>75</v>
      </c>
      <c r="C1230" s="115">
        <f>VLOOKUP($E$45,'Анализ стоимости'!$A$4:$DF$38,13,0)</f>
        <v>0</v>
      </c>
    </row>
    <row r="1231" spans="1:3" ht="15.75">
      <c r="A1231" s="113">
        <v>4</v>
      </c>
      <c r="B1231" s="114" t="s">
        <v>66</v>
      </c>
      <c r="C1231" s="115">
        <f>VLOOKUP($E$45,'Анализ стоимости'!$A$4:$DF$38,14,0)</f>
        <v>0</v>
      </c>
    </row>
    <row r="1232" spans="1:3" ht="15.75">
      <c r="A1232" s="113">
        <v>5</v>
      </c>
      <c r="B1232" s="114" t="s">
        <v>76</v>
      </c>
      <c r="C1232" s="115">
        <f>VLOOKUP($E$45,'Анализ стоимости'!$A$4:$DF$38,15,0)</f>
        <v>0</v>
      </c>
    </row>
    <row r="1233" spans="1:3" ht="15.75">
      <c r="A1233" s="113">
        <v>6</v>
      </c>
      <c r="B1233" s="114" t="s">
        <v>33</v>
      </c>
      <c r="C1233" s="115">
        <f>VLOOKUP($E$45,'Анализ стоимости'!$A$4:$DF$38,19,0)</f>
        <v>0</v>
      </c>
    </row>
    <row r="1234" spans="1:3" ht="15.75">
      <c r="A1234" s="113">
        <v>7</v>
      </c>
      <c r="B1234" s="114" t="s">
        <v>51</v>
      </c>
      <c r="C1234" s="115">
        <f>VLOOKUP($E$45,'Анализ стоимости'!$A$4:$DF$38,20,0)+VLOOKUP($E$45,'Анализ стоимости'!$A$4:$DF$38,22,0)+VLOOKUP($E$45,'Анализ стоимости'!$A$4:$DF$38,23,0)+VLOOKUP($E$45,'Анализ стоимости'!$A$4:$DF$38,24,0)+VLOOKUP($E$45,'Анализ стоимости'!$A$4:$DF$38,25,0)+VLOOKUP($E$45,'Анализ стоимости'!$A$4:$DF$38,26,0)+VLOOKUP($E$45,'Анализ стоимости'!$A$4:$DF$38,27,0)+VLOOKUP($E$45,'Анализ стоимости'!$A$4:$DF$38,28,0)+VLOOKUP($E$45,'Анализ стоимости'!$A$4:$DF$38,33,0)</f>
        <v>0</v>
      </c>
    </row>
    <row r="1235" spans="1:9" ht="16.5" thickBot="1">
      <c r="A1235" s="116"/>
      <c r="B1235" s="117" t="s">
        <v>69</v>
      </c>
      <c r="C1235" s="118">
        <f>SUM(C1228:C1234)</f>
        <v>0</v>
      </c>
      <c r="H1235" s="109"/>
      <c r="I1235" s="109"/>
    </row>
    <row r="1236" spans="1:3" ht="16.5" thickBot="1">
      <c r="A1236" s="201" t="s">
        <v>59</v>
      </c>
      <c r="B1236" s="202"/>
      <c r="C1236" s="203"/>
    </row>
    <row r="1237" spans="1:3" ht="26.25" thickBot="1">
      <c r="A1237" s="119" t="s">
        <v>28</v>
      </c>
      <c r="B1237" s="108" t="s">
        <v>38</v>
      </c>
      <c r="C1237" s="107" t="s">
        <v>60</v>
      </c>
    </row>
    <row r="1238" spans="1:3" ht="15.75">
      <c r="A1238" s="120"/>
      <c r="B1238" s="121" t="s">
        <v>111</v>
      </c>
      <c r="C1238" s="122"/>
    </row>
    <row r="1239" spans="1:3" ht="15.75">
      <c r="A1239" s="120"/>
      <c r="B1239" s="114" t="s">
        <v>39</v>
      </c>
      <c r="C1239" s="123">
        <f>IF(VLOOKUP($E$45,'Анализ стоимости'!$A$4:$DF$38,65,0)=0,0,DATE(2012,VLOOKUP($E$45,'Анализ стоимости'!$A$4:$DF$38,65,0),15))</f>
        <v>40923</v>
      </c>
    </row>
    <row r="1240" spans="1:3" ht="15.75">
      <c r="A1240" s="120"/>
      <c r="B1240" s="114" t="s">
        <v>31</v>
      </c>
      <c r="C1240" s="123">
        <f>IF(C1239=0,0,DATE(2012,VLOOKUP($E$45,'Анализ стоимости'!$A$4:$DF$38,66,0),15))</f>
        <v>41258</v>
      </c>
    </row>
    <row r="1241" spans="1:3" ht="25.5">
      <c r="A1241" s="120"/>
      <c r="B1241" s="124" t="s">
        <v>104</v>
      </c>
      <c r="C1241" s="125">
        <f>IF(C1239=0,0,VLOOKUP($E$45,'Анализ стоимости'!$A$4:$DF$38,71,0)+1)</f>
        <v>1.0725</v>
      </c>
    </row>
    <row r="1242" spans="1:3" ht="15.75">
      <c r="A1242" s="120"/>
      <c r="B1242" s="134" t="s">
        <v>112</v>
      </c>
      <c r="C1242" s="127">
        <f>VLOOKUP($E$45,'Анализ стоимости'!$A$4:$DF$38,43,0)</f>
        <v>0</v>
      </c>
    </row>
    <row r="1243" spans="1:3" ht="15.75">
      <c r="A1243" s="120"/>
      <c r="B1243" s="114" t="s">
        <v>32</v>
      </c>
      <c r="C1243" s="115">
        <f>VLOOKUP($E$45,'Анализ стоимости'!$A$4:$DF$38,48,0)</f>
        <v>0</v>
      </c>
    </row>
    <row r="1244" spans="1:5" ht="15.75">
      <c r="A1244" s="120"/>
      <c r="B1244" s="114" t="s">
        <v>82</v>
      </c>
      <c r="C1244" s="115">
        <f>VLOOKUP($E$45,'Анализ стоимости'!$A$4:$DF$38,53,0)</f>
        <v>0</v>
      </c>
      <c r="E1244" s="140">
        <f>VLOOKUP($E$45,'Анализ стоимости'!$A$4:$DF$38,73,0)</f>
        <v>0</v>
      </c>
    </row>
    <row r="1245" spans="1:5" ht="16.5" thickBot="1">
      <c r="A1245" s="128"/>
      <c r="B1245" s="129" t="s">
        <v>140</v>
      </c>
      <c r="C1245" s="130">
        <f>SUM(C1242:C1244)</f>
        <v>0</v>
      </c>
      <c r="E1245" s="140">
        <f>VLOOKUP($E$45,'Анализ стоимости'!$A$4:$DF$38,64)</f>
        <v>0</v>
      </c>
    </row>
    <row r="1246" spans="1:3" ht="15.75" hidden="1" outlineLevel="1">
      <c r="A1246" s="131"/>
      <c r="B1246" s="132" t="s">
        <v>136</v>
      </c>
      <c r="C1246" s="133"/>
    </row>
    <row r="1247" spans="1:3" ht="15.75" hidden="1" outlineLevel="1">
      <c r="A1247" s="120"/>
      <c r="B1247" s="114" t="s">
        <v>39</v>
      </c>
      <c r="C1247" s="123">
        <f>IF(VLOOKUP($E$45,'Анализ стоимости'!$A$4:$DF$38,7,0)="да",IF(VLOOKUP($E$45,'Анализ стоимости'!$A$4:$DF$38,67,0)=0,0,DATE(2013,VLOOKUP($E$45,'Анализ стоимости'!$A$4:$DF$38,67,0),15)),0)</f>
        <v>0</v>
      </c>
    </row>
    <row r="1248" spans="1:3" ht="15.75" hidden="1" outlineLevel="1">
      <c r="A1248" s="120"/>
      <c r="B1248" s="114" t="s">
        <v>31</v>
      </c>
      <c r="C1248" s="123">
        <f>IF(C1247=0,0,DATE(2013,VLOOKUP($E$45,'Анализ стоимости'!$A$4:$DF$38,68,0),15))</f>
        <v>0</v>
      </c>
    </row>
    <row r="1249" spans="1:3" ht="25.5" hidden="1" outlineLevel="1">
      <c r="A1249" s="120"/>
      <c r="B1249" s="124" t="s">
        <v>104</v>
      </c>
      <c r="C1249" s="125">
        <f>IF(C1247=0,0,VLOOKUP($E$45,'Анализ стоимости'!$A$4:$DF$38,72,0)+1)</f>
        <v>0</v>
      </c>
    </row>
    <row r="1250" spans="1:3" ht="15.75" hidden="1" outlineLevel="1">
      <c r="A1250" s="120"/>
      <c r="B1250" s="134" t="s">
        <v>137</v>
      </c>
      <c r="C1250" s="115">
        <f>C1235-C1242</f>
        <v>0</v>
      </c>
    </row>
    <row r="1251" spans="1:3" ht="15.75" hidden="1" outlineLevel="1">
      <c r="A1251" s="120"/>
      <c r="B1251" s="114" t="s">
        <v>32</v>
      </c>
      <c r="C1251" s="115">
        <f>VLOOKUP($E$45,'Анализ стоимости'!$A$4:$DF$38,58,0)</f>
        <v>0</v>
      </c>
    </row>
    <row r="1252" spans="1:3" ht="15.75" hidden="1" outlineLevel="1">
      <c r="A1252" s="120"/>
      <c r="B1252" s="114" t="s">
        <v>82</v>
      </c>
      <c r="C1252" s="115">
        <f>VLOOKUP($E$45,'Анализ стоимости'!$A$4:$DF$38,63,0)</f>
        <v>0</v>
      </c>
    </row>
    <row r="1253" spans="1:3" ht="16.5" hidden="1" outlineLevel="1" thickBot="1">
      <c r="A1253" s="128"/>
      <c r="B1253" s="129" t="s">
        <v>138</v>
      </c>
      <c r="C1253" s="130">
        <f>SUM(C1250:C1252)</f>
        <v>0</v>
      </c>
    </row>
    <row r="1254" spans="1:5" ht="16.5" hidden="1" outlineLevel="1" collapsed="1" thickBot="1">
      <c r="A1254" s="135"/>
      <c r="B1254" s="136" t="s">
        <v>70</v>
      </c>
      <c r="C1254" s="151">
        <f>ROUND(C1245+C1253,0)</f>
        <v>0</v>
      </c>
      <c r="E1254" s="152">
        <f>IF(E$40=0,0,C1254)</f>
        <v>0</v>
      </c>
    </row>
    <row r="1255" spans="1:3" ht="15.75" collapsed="1">
      <c r="A1255" s="137"/>
      <c r="B1255" s="138"/>
      <c r="C1255" s="139"/>
    </row>
    <row r="1256" spans="1:3" ht="15.75">
      <c r="A1256" s="137"/>
      <c r="B1256" s="138"/>
      <c r="C1256" s="139"/>
    </row>
    <row r="1257" spans="1:7" ht="31.5">
      <c r="A1257" s="204" t="str">
        <f>'Анализ стоимости'!$I$37</f>
        <v>Глава Сергиевского сельского поселения Кореновского района</v>
      </c>
      <c r="B1257" s="205"/>
      <c r="C1257" s="141" t="str">
        <f>CONCATENATE("_____________________ ",'Анализ стоимости'!$I$38)</f>
        <v>_____________________ С.А. Басеев </v>
      </c>
      <c r="G1257" s="164" t="str">
        <f>A1257</f>
        <v>Глава Сергиевского сельского поселения Кореновского района</v>
      </c>
    </row>
    <row r="1258" spans="1:7" s="153" customFormat="1" ht="15.75">
      <c r="A1258" s="96"/>
      <c r="B1258" s="144"/>
      <c r="C1258" s="96"/>
      <c r="F1258" s="154"/>
      <c r="G1258" s="165"/>
    </row>
    <row r="1259" spans="1:7" s="153" customFormat="1" ht="15.75">
      <c r="A1259" s="196"/>
      <c r="B1259" s="196"/>
      <c r="C1259" s="94"/>
      <c r="F1259" s="154"/>
      <c r="G1259" s="165"/>
    </row>
    <row r="1260" spans="1:3" ht="15.75">
      <c r="A1260" s="196"/>
      <c r="B1260" s="196"/>
      <c r="C1260" s="94"/>
    </row>
    <row r="1261" spans="1:3" ht="18.75">
      <c r="A1261" s="207" t="s">
        <v>35</v>
      </c>
      <c r="B1261" s="207"/>
      <c r="C1261" s="207"/>
    </row>
    <row r="1262" spans="1:6" ht="63">
      <c r="A1262" s="206" t="str">
        <f>F1262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  <c r="B1262" s="206"/>
      <c r="C1262" s="206"/>
      <c r="F1262" s="93" t="str">
        <f>$A$2</f>
        <v>Предмет муниципального контракта: Реализация мероприятий ведомственной целевой программы "Капитальный ремонт и ремонт автомобильных дорог местного значения Краснодарского края на  2012-2014 годы"  в Сергиевском сельском поселении Кореновского района</v>
      </c>
    </row>
    <row r="1263" spans="1:6" ht="15.75">
      <c r="A1263" s="206" t="str">
        <f>F1263</f>
        <v>Наименование объекта: </v>
      </c>
      <c r="B1263" s="206"/>
      <c r="C1263" s="206"/>
      <c r="F1263" s="146" t="str">
        <f>CONCATENATE("Наименование объекта: ",VLOOKUP($E$46,'Анализ стоимости'!$A$4:$DF$38,9,0))</f>
        <v>Наименование объекта: </v>
      </c>
    </row>
    <row r="1264" spans="1:5" ht="15.75">
      <c r="A1264" s="196" t="s">
        <v>53</v>
      </c>
      <c r="B1264" s="196"/>
      <c r="C1264" s="196"/>
      <c r="E1264" s="147"/>
    </row>
    <row r="1265" spans="1:3" ht="15.75">
      <c r="A1265" s="197" t="s">
        <v>109</v>
      </c>
      <c r="B1265" s="197"/>
      <c r="C1265" s="197"/>
    </row>
    <row r="1266" spans="1:3" ht="15.75">
      <c r="A1266" s="197" t="str">
        <f>CONCATENATE("учетом сроков строительства и НДС: ",FIXED(C1296,0)," руб.")</f>
        <v>учетом сроков строительства и НДС: 0 руб.</v>
      </c>
      <c r="B1266" s="197"/>
      <c r="C1266" s="97"/>
    </row>
    <row r="1267" spans="1:7" s="104" customFormat="1" ht="7.5" thickBot="1">
      <c r="A1267" s="148"/>
      <c r="B1267" s="149"/>
      <c r="C1267" s="148"/>
      <c r="F1267" s="150"/>
      <c r="G1267" s="162"/>
    </row>
    <row r="1268" spans="1:3" ht="17.25" thickBot="1" thickTop="1">
      <c r="A1268" s="198" t="s">
        <v>54</v>
      </c>
      <c r="B1268" s="199"/>
      <c r="C1268" s="200"/>
    </row>
    <row r="1269" spans="1:3" ht="39" thickBot="1">
      <c r="A1269" s="107" t="s">
        <v>28</v>
      </c>
      <c r="B1269" s="108" t="s">
        <v>58</v>
      </c>
      <c r="C1269" s="107" t="s">
        <v>141</v>
      </c>
    </row>
    <row r="1270" spans="1:3" ht="15.75">
      <c r="A1270" s="110">
        <v>1</v>
      </c>
      <c r="B1270" s="111" t="s">
        <v>42</v>
      </c>
      <c r="C1270" s="112">
        <f>VLOOKUP($E$46,'Анализ стоимости'!$A$4:$DF$38,11,0)</f>
        <v>0</v>
      </c>
    </row>
    <row r="1271" spans="1:3" ht="15.75">
      <c r="A1271" s="113">
        <v>2</v>
      </c>
      <c r="B1271" s="114" t="s">
        <v>65</v>
      </c>
      <c r="C1271" s="115">
        <f>VLOOKUP($E$46,'Анализ стоимости'!$A$4:$DF$38,12,0)</f>
        <v>0</v>
      </c>
    </row>
    <row r="1272" spans="1:3" ht="31.5">
      <c r="A1272" s="113">
        <v>3</v>
      </c>
      <c r="B1272" s="114" t="s">
        <v>75</v>
      </c>
      <c r="C1272" s="115">
        <f>VLOOKUP($E$46,'Анализ стоимости'!$A$4:$DF$38,13,0)</f>
        <v>0</v>
      </c>
    </row>
    <row r="1273" spans="1:3" ht="15.75">
      <c r="A1273" s="113">
        <v>4</v>
      </c>
      <c r="B1273" s="114" t="s">
        <v>66</v>
      </c>
      <c r="C1273" s="115">
        <f>VLOOKUP($E$46,'Анализ стоимости'!$A$4:$DF$38,14,0)</f>
        <v>0</v>
      </c>
    </row>
    <row r="1274" spans="1:3" ht="15.75">
      <c r="A1274" s="113">
        <v>5</v>
      </c>
      <c r="B1274" s="114" t="s">
        <v>76</v>
      </c>
      <c r="C1274" s="115">
        <f>VLOOKUP($E$46,'Анализ стоимости'!$A$4:$DF$38,15,0)</f>
        <v>0</v>
      </c>
    </row>
    <row r="1275" spans="1:3" ht="15.75">
      <c r="A1275" s="113">
        <v>6</v>
      </c>
      <c r="B1275" s="114" t="s">
        <v>33</v>
      </c>
      <c r="C1275" s="115">
        <f>VLOOKUP($E$46,'Анализ стоимости'!$A$4:$DF$38,19,0)</f>
        <v>0</v>
      </c>
    </row>
    <row r="1276" spans="1:3" ht="15.75">
      <c r="A1276" s="113">
        <v>7</v>
      </c>
      <c r="B1276" s="114" t="s">
        <v>51</v>
      </c>
      <c r="C1276" s="115">
        <f>VLOOKUP($E$46,'Анализ стоимости'!$A$4:$DF$38,20,0)+VLOOKUP($E$46,'Анализ стоимости'!$A$4:$DF$38,22,0)+VLOOKUP($E$46,'Анализ стоимости'!$A$4:$DF$38,23,0)+VLOOKUP($E$46,'Анализ стоимости'!$A$4:$DF$38,24,0)+VLOOKUP($E$46,'Анализ стоимости'!$A$4:$DF$38,25,0)+VLOOKUP($E$46,'Анализ стоимости'!$A$4:$DF$38,26,0)+VLOOKUP($E$46,'Анализ стоимости'!$A$4:$DF$38,27,0)+VLOOKUP($E$46,'Анализ стоимости'!$A$4:$DF$38,28,0)+VLOOKUP($E$46,'Анализ стоимости'!$A$4:$DF$38,33,0)</f>
        <v>0</v>
      </c>
    </row>
    <row r="1277" spans="1:9" ht="16.5" thickBot="1">
      <c r="A1277" s="116"/>
      <c r="B1277" s="117" t="s">
        <v>69</v>
      </c>
      <c r="C1277" s="118">
        <f>SUM(C1270:C1276)</f>
        <v>0</v>
      </c>
      <c r="H1277" s="109"/>
      <c r="I1277" s="109"/>
    </row>
    <row r="1278" spans="1:3" ht="16.5" thickBot="1">
      <c r="A1278" s="201" t="s">
        <v>59</v>
      </c>
      <c r="B1278" s="202"/>
      <c r="C1278" s="203"/>
    </row>
    <row r="1279" spans="1:3" ht="26.25" thickBot="1">
      <c r="A1279" s="119" t="s">
        <v>28</v>
      </c>
      <c r="B1279" s="108" t="s">
        <v>38</v>
      </c>
      <c r="C1279" s="107" t="s">
        <v>60</v>
      </c>
    </row>
    <row r="1280" spans="1:3" ht="15.75">
      <c r="A1280" s="120"/>
      <c r="B1280" s="121" t="s">
        <v>111</v>
      </c>
      <c r="C1280" s="122"/>
    </row>
    <row r="1281" spans="1:3" ht="15.75">
      <c r="A1281" s="120"/>
      <c r="B1281" s="114" t="s">
        <v>39</v>
      </c>
      <c r="C1281" s="123">
        <f>IF(VLOOKUP($E$46,'Анализ стоимости'!$A$4:$DF$38,65,0)=0,0,DATE(2012,VLOOKUP($E$46,'Анализ стоимости'!$A$4:$DF$38,65,0),15))</f>
        <v>40923</v>
      </c>
    </row>
    <row r="1282" spans="1:3" ht="15.75">
      <c r="A1282" s="120"/>
      <c r="B1282" s="114" t="s">
        <v>31</v>
      </c>
      <c r="C1282" s="123">
        <f>IF(C1281=0,0,DATE(2012,VLOOKUP($E$46,'Анализ стоимости'!$A$4:$DF$38,66,0),15))</f>
        <v>41258</v>
      </c>
    </row>
    <row r="1283" spans="1:3" ht="25.5">
      <c r="A1283" s="120"/>
      <c r="B1283" s="124" t="s">
        <v>104</v>
      </c>
      <c r="C1283" s="125">
        <f>IF(C1281=0,0,VLOOKUP($E$46,'Анализ стоимости'!$A$4:$DF$38,71,0)+1)</f>
        <v>1.0725</v>
      </c>
    </row>
    <row r="1284" spans="1:3" ht="15.75">
      <c r="A1284" s="120"/>
      <c r="B1284" s="134" t="s">
        <v>112</v>
      </c>
      <c r="C1284" s="127">
        <f>VLOOKUP($E$46,'Анализ стоимости'!$A$4:$DF$38,43,0)</f>
        <v>0</v>
      </c>
    </row>
    <row r="1285" spans="1:3" ht="15.75">
      <c r="A1285" s="120"/>
      <c r="B1285" s="114" t="s">
        <v>32</v>
      </c>
      <c r="C1285" s="115">
        <f>VLOOKUP($E$46,'Анализ стоимости'!$A$4:$DF$38,48,0)</f>
        <v>0</v>
      </c>
    </row>
    <row r="1286" spans="1:5" ht="15.75">
      <c r="A1286" s="120"/>
      <c r="B1286" s="114" t="s">
        <v>82</v>
      </c>
      <c r="C1286" s="115">
        <f>VLOOKUP($E$46,'Анализ стоимости'!$A$4:$DF$38,53,0)</f>
        <v>0</v>
      </c>
      <c r="E1286" s="140">
        <f>VLOOKUP($E$46,'Анализ стоимости'!$A$4:$DF$38,73,0)</f>
        <v>0</v>
      </c>
    </row>
    <row r="1287" spans="1:5" ht="16.5" thickBot="1">
      <c r="A1287" s="128"/>
      <c r="B1287" s="129" t="s">
        <v>140</v>
      </c>
      <c r="C1287" s="130">
        <f>SUM(C1284:C1286)</f>
        <v>0</v>
      </c>
      <c r="E1287" s="140">
        <f>VLOOKUP($E$46,'Анализ стоимости'!$A$4:$DF$38,64)</f>
        <v>0</v>
      </c>
    </row>
    <row r="1288" spans="1:3" ht="15.75" hidden="1" outlineLevel="1">
      <c r="A1288" s="131"/>
      <c r="B1288" s="132" t="s">
        <v>136</v>
      </c>
      <c r="C1288" s="133"/>
    </row>
    <row r="1289" spans="1:3" ht="15.75" hidden="1" outlineLevel="1">
      <c r="A1289" s="120"/>
      <c r="B1289" s="114" t="s">
        <v>39</v>
      </c>
      <c r="C1289" s="123">
        <f>IF(VLOOKUP($E$46,'Анализ стоимости'!$A$4:$DF$38,7,0)="да",IF(VLOOKUP($E$46,'Анализ стоимости'!$A$4:$DF$38,67,0)=0,0,DATE(2013,VLOOKUP($E$46,'Анализ стоимости'!$A$4:$DF$38,67,0),15)),0)</f>
        <v>0</v>
      </c>
    </row>
    <row r="1290" spans="1:3" ht="15.75" hidden="1" outlineLevel="1">
      <c r="A1290" s="120"/>
      <c r="B1290" s="114" t="s">
        <v>31</v>
      </c>
      <c r="C1290" s="123">
        <f>IF(C1289=0,0,DATE(2013,VLOOKUP($E$46,'Анализ стоимости'!$A$4:$DF$38,68,0),15))</f>
        <v>0</v>
      </c>
    </row>
    <row r="1291" spans="1:3" ht="25.5" hidden="1" outlineLevel="1">
      <c r="A1291" s="120"/>
      <c r="B1291" s="124" t="s">
        <v>104</v>
      </c>
      <c r="C1291" s="125">
        <f>IF(C1289=0,0,VLOOKUP($E$46,'Анализ стоимости'!$A$4:$DF$38,72,0)+1)</f>
        <v>0</v>
      </c>
    </row>
    <row r="1292" spans="1:3" ht="15.75" hidden="1" outlineLevel="1">
      <c r="A1292" s="120"/>
      <c r="B1292" s="134" t="s">
        <v>137</v>
      </c>
      <c r="C1292" s="115">
        <f>C1277-C1284</f>
        <v>0</v>
      </c>
    </row>
    <row r="1293" spans="1:3" ht="15.75" hidden="1" outlineLevel="1">
      <c r="A1293" s="120"/>
      <c r="B1293" s="114" t="s">
        <v>32</v>
      </c>
      <c r="C1293" s="115">
        <f>VLOOKUP($E$46,'Анализ стоимости'!$A$4:$DF$38,58,0)</f>
        <v>0</v>
      </c>
    </row>
    <row r="1294" spans="1:3" ht="15.75" hidden="1" outlineLevel="1">
      <c r="A1294" s="120"/>
      <c r="B1294" s="114" t="s">
        <v>82</v>
      </c>
      <c r="C1294" s="115">
        <f>VLOOKUP($E$46,'Анализ стоимости'!$A$4:$DF$38,63,0)</f>
        <v>0</v>
      </c>
    </row>
    <row r="1295" spans="1:3" ht="16.5" hidden="1" outlineLevel="1" thickBot="1">
      <c r="A1295" s="128"/>
      <c r="B1295" s="129" t="s">
        <v>138</v>
      </c>
      <c r="C1295" s="130">
        <f>SUM(C1292:C1294)</f>
        <v>0</v>
      </c>
    </row>
    <row r="1296" spans="1:5" ht="16.5" hidden="1" outlineLevel="1" collapsed="1" thickBot="1">
      <c r="A1296" s="135"/>
      <c r="B1296" s="136" t="s">
        <v>70</v>
      </c>
      <c r="C1296" s="151">
        <f>ROUND(C1287+C1295,0)</f>
        <v>0</v>
      </c>
      <c r="E1296" s="152">
        <f>IF(E$40=0,0,C1296)</f>
        <v>0</v>
      </c>
    </row>
    <row r="1297" spans="1:3" ht="15.75" collapsed="1">
      <c r="A1297" s="137"/>
      <c r="B1297" s="138"/>
      <c r="C1297" s="139"/>
    </row>
    <row r="1298" spans="1:3" ht="15.75">
      <c r="A1298" s="137"/>
      <c r="B1298" s="138"/>
      <c r="C1298" s="139"/>
    </row>
    <row r="1299" spans="1:7" ht="31.5">
      <c r="A1299" s="204" t="str">
        <f>'Анализ стоимости'!$I$37</f>
        <v>Глава Сергиевского сельского поселения Кореновского района</v>
      </c>
      <c r="B1299" s="205"/>
      <c r="C1299" s="141" t="str">
        <f>CONCATENATE("_____________________ ",'Анализ стоимости'!$I$38)</f>
        <v>_____________________ С.А. Басеев </v>
      </c>
      <c r="G1299" s="164" t="str">
        <f>A1299</f>
        <v>Глава Сергиевского сельского поселения Кореновского района</v>
      </c>
    </row>
    <row r="1300" spans="1:7" s="153" customFormat="1" ht="15.75">
      <c r="A1300" s="96"/>
      <c r="B1300" s="144"/>
      <c r="C1300" s="96"/>
      <c r="F1300" s="154"/>
      <c r="G1300" s="165"/>
    </row>
    <row r="1301" spans="1:7" s="153" customFormat="1" ht="15.75">
      <c r="A1301" s="196"/>
      <c r="B1301" s="196"/>
      <c r="C1301" s="94"/>
      <c r="F1301" s="154"/>
      <c r="G1301" s="165"/>
    </row>
    <row r="1302" spans="1:3" ht="15.75">
      <c r="A1302" s="196"/>
      <c r="B1302" s="196"/>
      <c r="C1302" s="94"/>
    </row>
  </sheetData>
  <sheetProtection password="F647" sheet="1" objects="1" scenarios="1" formatRows="0"/>
  <mergeCells count="589">
    <mergeCell ref="A1:C1"/>
    <mergeCell ref="A2:C2"/>
    <mergeCell ref="A3:C3"/>
    <mergeCell ref="A4:C4"/>
    <mergeCell ref="A5:C5"/>
    <mergeCell ref="A8:C8"/>
    <mergeCell ref="A18:C18"/>
    <mergeCell ref="A6:B6"/>
    <mergeCell ref="A41:B41"/>
    <mergeCell ref="F41:G41"/>
    <mergeCell ref="A39:B39"/>
    <mergeCell ref="P41:Q41"/>
    <mergeCell ref="R41:S41"/>
    <mergeCell ref="T41:U41"/>
    <mergeCell ref="V41:W41"/>
    <mergeCell ref="J41:K41"/>
    <mergeCell ref="L41:M41"/>
    <mergeCell ref="N41:O41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AV41:AW41"/>
    <mergeCell ref="AX41:AY41"/>
    <mergeCell ref="AZ41:BA41"/>
    <mergeCell ref="BB41:BC41"/>
    <mergeCell ref="AN41:AO41"/>
    <mergeCell ref="AP41:AQ41"/>
    <mergeCell ref="AR41:AS41"/>
    <mergeCell ref="AT41:AU41"/>
    <mergeCell ref="BL41:BM41"/>
    <mergeCell ref="BN41:BO41"/>
    <mergeCell ref="BP41:BQ41"/>
    <mergeCell ref="BR41:BS41"/>
    <mergeCell ref="BD41:BE41"/>
    <mergeCell ref="BF41:BG41"/>
    <mergeCell ref="BH41:BI41"/>
    <mergeCell ref="BJ41:BK41"/>
    <mergeCell ref="CB41:CC41"/>
    <mergeCell ref="CD41:CE41"/>
    <mergeCell ref="CF41:CG41"/>
    <mergeCell ref="CH41:CI41"/>
    <mergeCell ref="BT41:BU41"/>
    <mergeCell ref="BV41:BW41"/>
    <mergeCell ref="BX41:BY41"/>
    <mergeCell ref="BZ41:CA41"/>
    <mergeCell ref="CR41:CS41"/>
    <mergeCell ref="CT41:CU41"/>
    <mergeCell ref="CV41:CW41"/>
    <mergeCell ref="CX41:CY41"/>
    <mergeCell ref="CJ41:CK41"/>
    <mergeCell ref="CL41:CM41"/>
    <mergeCell ref="CN41:CO41"/>
    <mergeCell ref="CP41:CQ41"/>
    <mergeCell ref="DH41:DI41"/>
    <mergeCell ref="DJ41:DK41"/>
    <mergeCell ref="DL41:DM41"/>
    <mergeCell ref="DN41:DO41"/>
    <mergeCell ref="CZ41:DA41"/>
    <mergeCell ref="DB41:DC41"/>
    <mergeCell ref="DD41:DE41"/>
    <mergeCell ref="DF41:DG41"/>
    <mergeCell ref="DX41:DY41"/>
    <mergeCell ref="DZ41:EA41"/>
    <mergeCell ref="EB41:EC41"/>
    <mergeCell ref="ED41:EE41"/>
    <mergeCell ref="DP41:DQ41"/>
    <mergeCell ref="DR41:DS41"/>
    <mergeCell ref="DT41:DU41"/>
    <mergeCell ref="DV41:DW41"/>
    <mergeCell ref="EN41:EO41"/>
    <mergeCell ref="EP41:EQ41"/>
    <mergeCell ref="ER41:ES41"/>
    <mergeCell ref="ET41:EU41"/>
    <mergeCell ref="EF41:EG41"/>
    <mergeCell ref="EH41:EI41"/>
    <mergeCell ref="EJ41:EK41"/>
    <mergeCell ref="EL41:EM41"/>
    <mergeCell ref="FD41:FE41"/>
    <mergeCell ref="FF41:FG41"/>
    <mergeCell ref="FH41:FI41"/>
    <mergeCell ref="FJ41:FK41"/>
    <mergeCell ref="EV41:EW41"/>
    <mergeCell ref="EX41:EY41"/>
    <mergeCell ref="EZ41:FA41"/>
    <mergeCell ref="FB41:FC41"/>
    <mergeCell ref="FT41:FU41"/>
    <mergeCell ref="FV41:FW41"/>
    <mergeCell ref="FX41:FY41"/>
    <mergeCell ref="FZ41:GA41"/>
    <mergeCell ref="FL41:FM41"/>
    <mergeCell ref="FN41:FO41"/>
    <mergeCell ref="FP41:FQ41"/>
    <mergeCell ref="FR41:FS41"/>
    <mergeCell ref="GJ41:GK41"/>
    <mergeCell ref="GL41:GM41"/>
    <mergeCell ref="GN41:GO41"/>
    <mergeCell ref="GP41:GQ41"/>
    <mergeCell ref="GB41:GC41"/>
    <mergeCell ref="GD41:GE41"/>
    <mergeCell ref="GF41:GG41"/>
    <mergeCell ref="GH41:GI41"/>
    <mergeCell ref="GZ41:HA41"/>
    <mergeCell ref="HB41:HC41"/>
    <mergeCell ref="HD41:HE41"/>
    <mergeCell ref="HF41:HG41"/>
    <mergeCell ref="GR41:GS41"/>
    <mergeCell ref="GT41:GU41"/>
    <mergeCell ref="GV41:GW41"/>
    <mergeCell ref="GX41:GY41"/>
    <mergeCell ref="HP41:HQ41"/>
    <mergeCell ref="HR41:HS41"/>
    <mergeCell ref="HT41:HU41"/>
    <mergeCell ref="HV41:HW41"/>
    <mergeCell ref="HH41:HI41"/>
    <mergeCell ref="HJ41:HK41"/>
    <mergeCell ref="HL41:HM41"/>
    <mergeCell ref="HN41:HO41"/>
    <mergeCell ref="IP41:IQ41"/>
    <mergeCell ref="IR41:IS41"/>
    <mergeCell ref="IT41:IU41"/>
    <mergeCell ref="IF41:IG41"/>
    <mergeCell ref="IH41:II41"/>
    <mergeCell ref="IJ41:IK41"/>
    <mergeCell ref="IL41:IM41"/>
    <mergeCell ref="J42:K42"/>
    <mergeCell ref="L42:M42"/>
    <mergeCell ref="N42:O42"/>
    <mergeCell ref="A42:B42"/>
    <mergeCell ref="F42:G42"/>
    <mergeCell ref="IN41:IO41"/>
    <mergeCell ref="HX41:HY41"/>
    <mergeCell ref="HZ41:IA41"/>
    <mergeCell ref="IB41:IC41"/>
    <mergeCell ref="ID41:IE41"/>
    <mergeCell ref="X42:Y42"/>
    <mergeCell ref="Z42:AA42"/>
    <mergeCell ref="AB42:AC42"/>
    <mergeCell ref="AD42:AE42"/>
    <mergeCell ref="P42:Q42"/>
    <mergeCell ref="R42:S42"/>
    <mergeCell ref="T42:U42"/>
    <mergeCell ref="V42:W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CJ42:CK42"/>
    <mergeCell ref="CL42:CM42"/>
    <mergeCell ref="CN42:CO42"/>
    <mergeCell ref="CP42:CQ42"/>
    <mergeCell ref="CB42:CC42"/>
    <mergeCell ref="CD42:CE42"/>
    <mergeCell ref="CF42:CG42"/>
    <mergeCell ref="CH42:CI42"/>
    <mergeCell ref="CZ42:DA42"/>
    <mergeCell ref="DB42:DC42"/>
    <mergeCell ref="DD42:DE42"/>
    <mergeCell ref="DF42:DG42"/>
    <mergeCell ref="CR42:CS42"/>
    <mergeCell ref="CT42:CU42"/>
    <mergeCell ref="CV42:CW42"/>
    <mergeCell ref="CX42:CY42"/>
    <mergeCell ref="DP42:DQ42"/>
    <mergeCell ref="DR42:DS42"/>
    <mergeCell ref="DT42:DU42"/>
    <mergeCell ref="DV42:DW42"/>
    <mergeCell ref="DH42:DI42"/>
    <mergeCell ref="DJ42:DK42"/>
    <mergeCell ref="DL42:DM42"/>
    <mergeCell ref="DN42:DO42"/>
    <mergeCell ref="EF42:EG42"/>
    <mergeCell ref="EH42:EI42"/>
    <mergeCell ref="EJ42:EK42"/>
    <mergeCell ref="EL42:EM42"/>
    <mergeCell ref="DX42:DY42"/>
    <mergeCell ref="DZ42:EA42"/>
    <mergeCell ref="EB42:EC42"/>
    <mergeCell ref="ED42:EE42"/>
    <mergeCell ref="EV42:EW42"/>
    <mergeCell ref="EX42:EY42"/>
    <mergeCell ref="EZ42:FA42"/>
    <mergeCell ref="FB42:FC42"/>
    <mergeCell ref="EN42:EO42"/>
    <mergeCell ref="EP42:EQ42"/>
    <mergeCell ref="ER42:ES42"/>
    <mergeCell ref="ET42:EU42"/>
    <mergeCell ref="FL42:FM42"/>
    <mergeCell ref="FN42:FO42"/>
    <mergeCell ref="FP42:FQ42"/>
    <mergeCell ref="FR42:FS42"/>
    <mergeCell ref="FD42:FE42"/>
    <mergeCell ref="FF42:FG42"/>
    <mergeCell ref="FH42:FI42"/>
    <mergeCell ref="FJ42:FK42"/>
    <mergeCell ref="GB42:GC42"/>
    <mergeCell ref="GD42:GE42"/>
    <mergeCell ref="GF42:GG42"/>
    <mergeCell ref="GH42:GI42"/>
    <mergeCell ref="FT42:FU42"/>
    <mergeCell ref="FV42:FW42"/>
    <mergeCell ref="FX42:FY42"/>
    <mergeCell ref="FZ42:GA42"/>
    <mergeCell ref="GR42:GS42"/>
    <mergeCell ref="GT42:GU42"/>
    <mergeCell ref="GV42:GW42"/>
    <mergeCell ref="GX42:GY42"/>
    <mergeCell ref="GJ42:GK42"/>
    <mergeCell ref="GL42:GM42"/>
    <mergeCell ref="GN42:GO42"/>
    <mergeCell ref="GP42:GQ42"/>
    <mergeCell ref="HH42:HI42"/>
    <mergeCell ref="HJ42:HK42"/>
    <mergeCell ref="HL42:HM42"/>
    <mergeCell ref="IH42:II42"/>
    <mergeCell ref="GZ42:HA42"/>
    <mergeCell ref="HB42:HC42"/>
    <mergeCell ref="HD42:HE42"/>
    <mergeCell ref="HF42:HG42"/>
    <mergeCell ref="IJ42:IK42"/>
    <mergeCell ref="HN42:HO42"/>
    <mergeCell ref="HP42:HQ42"/>
    <mergeCell ref="HR42:HS42"/>
    <mergeCell ref="HT42:HU42"/>
    <mergeCell ref="HV42:HW42"/>
    <mergeCell ref="HX42:HY42"/>
    <mergeCell ref="IT42:IU42"/>
    <mergeCell ref="A43:C43"/>
    <mergeCell ref="HZ42:IA42"/>
    <mergeCell ref="IB42:IC42"/>
    <mergeCell ref="ID42:IE42"/>
    <mergeCell ref="IF42:IG42"/>
    <mergeCell ref="IL42:IM42"/>
    <mergeCell ref="IN42:IO42"/>
    <mergeCell ref="IP42:IQ42"/>
    <mergeCell ref="IR42:IS42"/>
    <mergeCell ref="A48:B48"/>
    <mergeCell ref="A60:C60"/>
    <mergeCell ref="A50:C50"/>
    <mergeCell ref="A81:B81"/>
    <mergeCell ref="A44:C44"/>
    <mergeCell ref="A45:C45"/>
    <mergeCell ref="A46:C46"/>
    <mergeCell ref="A47:C47"/>
    <mergeCell ref="A87:C87"/>
    <mergeCell ref="A88:C88"/>
    <mergeCell ref="A89:C89"/>
    <mergeCell ref="A90:B90"/>
    <mergeCell ref="A84:B84"/>
    <mergeCell ref="A83:B83"/>
    <mergeCell ref="A85:C85"/>
    <mergeCell ref="A86:C86"/>
    <mergeCell ref="A127:C127"/>
    <mergeCell ref="A130:C130"/>
    <mergeCell ref="A92:C92"/>
    <mergeCell ref="A102:C102"/>
    <mergeCell ref="A123:B123"/>
    <mergeCell ref="A126:B126"/>
    <mergeCell ref="A125:B125"/>
    <mergeCell ref="A167:B167"/>
    <mergeCell ref="A168:B168"/>
    <mergeCell ref="A169:C169"/>
    <mergeCell ref="A170:C170"/>
    <mergeCell ref="A128:C128"/>
    <mergeCell ref="A129:C129"/>
    <mergeCell ref="A207:B207"/>
    <mergeCell ref="A210:B210"/>
    <mergeCell ref="A211:C211"/>
    <mergeCell ref="A212:C212"/>
    <mergeCell ref="A131:C131"/>
    <mergeCell ref="A132:B132"/>
    <mergeCell ref="A171:C171"/>
    <mergeCell ref="A134:C134"/>
    <mergeCell ref="A144:C144"/>
    <mergeCell ref="A165:B165"/>
    <mergeCell ref="A209:B209"/>
    <mergeCell ref="A214:C214"/>
    <mergeCell ref="A215:C215"/>
    <mergeCell ref="A216:B216"/>
    <mergeCell ref="A172:C172"/>
    <mergeCell ref="A173:C173"/>
    <mergeCell ref="A174:B174"/>
    <mergeCell ref="A213:C213"/>
    <mergeCell ref="A176:C176"/>
    <mergeCell ref="A186:C186"/>
    <mergeCell ref="A254:C254"/>
    <mergeCell ref="A255:C255"/>
    <mergeCell ref="A218:C218"/>
    <mergeCell ref="A228:C228"/>
    <mergeCell ref="A249:B249"/>
    <mergeCell ref="A251:B251"/>
    <mergeCell ref="A253:C253"/>
    <mergeCell ref="A252:B252"/>
    <mergeCell ref="A336:B336"/>
    <mergeCell ref="A256:C256"/>
    <mergeCell ref="A257:C257"/>
    <mergeCell ref="A258:B258"/>
    <mergeCell ref="A295:C295"/>
    <mergeCell ref="A260:C260"/>
    <mergeCell ref="A270:C270"/>
    <mergeCell ref="A291:B291"/>
    <mergeCell ref="A293:B293"/>
    <mergeCell ref="A294:B294"/>
    <mergeCell ref="A296:C296"/>
    <mergeCell ref="A297:C297"/>
    <mergeCell ref="A312:C312"/>
    <mergeCell ref="A333:B333"/>
    <mergeCell ref="A337:C337"/>
    <mergeCell ref="A302:C302"/>
    <mergeCell ref="A299:C299"/>
    <mergeCell ref="A298:C298"/>
    <mergeCell ref="A300:B300"/>
    <mergeCell ref="A335:B335"/>
    <mergeCell ref="A339:C339"/>
    <mergeCell ref="A342:B342"/>
    <mergeCell ref="A380:C380"/>
    <mergeCell ref="A375:B375"/>
    <mergeCell ref="A377:B377"/>
    <mergeCell ref="A378:B378"/>
    <mergeCell ref="A425:C425"/>
    <mergeCell ref="A419:B419"/>
    <mergeCell ref="A384:B384"/>
    <mergeCell ref="A468:B468"/>
    <mergeCell ref="A338:C338"/>
    <mergeCell ref="A340:C340"/>
    <mergeCell ref="A341:C341"/>
    <mergeCell ref="A354:C354"/>
    <mergeCell ref="A344:C344"/>
    <mergeCell ref="A379:C379"/>
    <mergeCell ref="A382:C382"/>
    <mergeCell ref="A396:C396"/>
    <mergeCell ref="A417:B417"/>
    <mergeCell ref="A386:C386"/>
    <mergeCell ref="A480:C480"/>
    <mergeCell ref="A470:C470"/>
    <mergeCell ref="A383:C383"/>
    <mergeCell ref="A420:B420"/>
    <mergeCell ref="A424:C424"/>
    <mergeCell ref="A423:C423"/>
    <mergeCell ref="A381:C381"/>
    <mergeCell ref="A506:C506"/>
    <mergeCell ref="A421:C421"/>
    <mergeCell ref="A422:C422"/>
    <mergeCell ref="A503:B503"/>
    <mergeCell ref="A504:B504"/>
    <mergeCell ref="A465:C465"/>
    <mergeCell ref="A505:C505"/>
    <mergeCell ref="A466:C466"/>
    <mergeCell ref="A467:C467"/>
    <mergeCell ref="A507:C507"/>
    <mergeCell ref="A428:C428"/>
    <mergeCell ref="A426:B426"/>
    <mergeCell ref="A462:B462"/>
    <mergeCell ref="A463:C463"/>
    <mergeCell ref="A438:C438"/>
    <mergeCell ref="A459:B459"/>
    <mergeCell ref="A461:B461"/>
    <mergeCell ref="A501:B501"/>
    <mergeCell ref="A464:C464"/>
    <mergeCell ref="A522:C522"/>
    <mergeCell ref="A543:B543"/>
    <mergeCell ref="A545:B545"/>
    <mergeCell ref="A546:B546"/>
    <mergeCell ref="A508:C508"/>
    <mergeCell ref="A509:C509"/>
    <mergeCell ref="A510:B510"/>
    <mergeCell ref="A512:C512"/>
    <mergeCell ref="A551:C551"/>
    <mergeCell ref="A552:B552"/>
    <mergeCell ref="A554:C554"/>
    <mergeCell ref="A564:C564"/>
    <mergeCell ref="A547:C547"/>
    <mergeCell ref="A548:C548"/>
    <mergeCell ref="A549:C549"/>
    <mergeCell ref="A550:C550"/>
    <mergeCell ref="A590:C590"/>
    <mergeCell ref="A591:C591"/>
    <mergeCell ref="A592:C592"/>
    <mergeCell ref="A593:C593"/>
    <mergeCell ref="A585:B585"/>
    <mergeCell ref="A587:B587"/>
    <mergeCell ref="A588:B588"/>
    <mergeCell ref="A589:C589"/>
    <mergeCell ref="A629:B629"/>
    <mergeCell ref="A630:B630"/>
    <mergeCell ref="A631:C631"/>
    <mergeCell ref="A632:C632"/>
    <mergeCell ref="A594:B594"/>
    <mergeCell ref="A596:C596"/>
    <mergeCell ref="A606:C606"/>
    <mergeCell ref="A627:B627"/>
    <mergeCell ref="A638:C638"/>
    <mergeCell ref="A648:C648"/>
    <mergeCell ref="A669:B669"/>
    <mergeCell ref="A671:B671"/>
    <mergeCell ref="A633:C633"/>
    <mergeCell ref="A634:C634"/>
    <mergeCell ref="A635:C635"/>
    <mergeCell ref="A636:B636"/>
    <mergeCell ref="A676:C676"/>
    <mergeCell ref="A677:C677"/>
    <mergeCell ref="A678:B678"/>
    <mergeCell ref="A680:C680"/>
    <mergeCell ref="A672:B672"/>
    <mergeCell ref="A673:C673"/>
    <mergeCell ref="A674:C674"/>
    <mergeCell ref="A675:C675"/>
    <mergeCell ref="A715:C715"/>
    <mergeCell ref="A716:C716"/>
    <mergeCell ref="A717:C717"/>
    <mergeCell ref="A718:C718"/>
    <mergeCell ref="A690:C690"/>
    <mergeCell ref="A711:B711"/>
    <mergeCell ref="A713:B713"/>
    <mergeCell ref="A714:B714"/>
    <mergeCell ref="A753:B753"/>
    <mergeCell ref="A755:B755"/>
    <mergeCell ref="A756:B756"/>
    <mergeCell ref="A757:C757"/>
    <mergeCell ref="A719:C719"/>
    <mergeCell ref="A720:B720"/>
    <mergeCell ref="A722:C722"/>
    <mergeCell ref="A732:C732"/>
    <mergeCell ref="A762:B762"/>
    <mergeCell ref="A764:C764"/>
    <mergeCell ref="A774:C774"/>
    <mergeCell ref="A795:B795"/>
    <mergeCell ref="A758:C758"/>
    <mergeCell ref="A759:C759"/>
    <mergeCell ref="A760:C760"/>
    <mergeCell ref="A761:C761"/>
    <mergeCell ref="A801:C801"/>
    <mergeCell ref="A802:C802"/>
    <mergeCell ref="A803:C803"/>
    <mergeCell ref="A804:B804"/>
    <mergeCell ref="A797:B797"/>
    <mergeCell ref="A798:B798"/>
    <mergeCell ref="A799:C799"/>
    <mergeCell ref="A800:C800"/>
    <mergeCell ref="A840:B840"/>
    <mergeCell ref="A841:C841"/>
    <mergeCell ref="A842:C842"/>
    <mergeCell ref="A843:C843"/>
    <mergeCell ref="A806:C806"/>
    <mergeCell ref="A816:C816"/>
    <mergeCell ref="A837:B837"/>
    <mergeCell ref="A839:B839"/>
    <mergeCell ref="A858:C858"/>
    <mergeCell ref="A879:B879"/>
    <mergeCell ref="A881:B881"/>
    <mergeCell ref="A882:B882"/>
    <mergeCell ref="A844:C844"/>
    <mergeCell ref="A845:C845"/>
    <mergeCell ref="A846:B846"/>
    <mergeCell ref="A848:C848"/>
    <mergeCell ref="A887:C887"/>
    <mergeCell ref="A888:B888"/>
    <mergeCell ref="A890:C890"/>
    <mergeCell ref="A900:C900"/>
    <mergeCell ref="A883:C883"/>
    <mergeCell ref="A884:C884"/>
    <mergeCell ref="A885:C885"/>
    <mergeCell ref="A886:C886"/>
    <mergeCell ref="A926:C926"/>
    <mergeCell ref="A927:C927"/>
    <mergeCell ref="A928:C928"/>
    <mergeCell ref="A929:C929"/>
    <mergeCell ref="A921:B921"/>
    <mergeCell ref="A923:B923"/>
    <mergeCell ref="A924:B924"/>
    <mergeCell ref="A925:C925"/>
    <mergeCell ref="A965:B965"/>
    <mergeCell ref="A966:B966"/>
    <mergeCell ref="A967:C967"/>
    <mergeCell ref="A968:C968"/>
    <mergeCell ref="A930:B930"/>
    <mergeCell ref="A932:C932"/>
    <mergeCell ref="A942:C942"/>
    <mergeCell ref="A963:B963"/>
    <mergeCell ref="A974:C974"/>
    <mergeCell ref="A984:C984"/>
    <mergeCell ref="A1005:B1005"/>
    <mergeCell ref="A1007:B1007"/>
    <mergeCell ref="A969:C969"/>
    <mergeCell ref="A970:C970"/>
    <mergeCell ref="A971:C971"/>
    <mergeCell ref="A972:B972"/>
    <mergeCell ref="A1026:C1026"/>
    <mergeCell ref="A1047:B1047"/>
    <mergeCell ref="A1008:B1008"/>
    <mergeCell ref="A1009:C1009"/>
    <mergeCell ref="A1010:C1010"/>
    <mergeCell ref="A1011:C1011"/>
    <mergeCell ref="A1051:C1051"/>
    <mergeCell ref="A1052:C1052"/>
    <mergeCell ref="A1053:C1053"/>
    <mergeCell ref="A1054:C1054"/>
    <mergeCell ref="A1012:C1012"/>
    <mergeCell ref="A1013:C1013"/>
    <mergeCell ref="A1049:B1049"/>
    <mergeCell ref="A1050:B1050"/>
    <mergeCell ref="A1014:B1014"/>
    <mergeCell ref="A1016:C1016"/>
    <mergeCell ref="A1089:B1089"/>
    <mergeCell ref="A1091:B1091"/>
    <mergeCell ref="A1092:B1092"/>
    <mergeCell ref="A1093:C1093"/>
    <mergeCell ref="A1055:C1055"/>
    <mergeCell ref="A1056:B1056"/>
    <mergeCell ref="A1058:C1058"/>
    <mergeCell ref="A1068:C1068"/>
    <mergeCell ref="A1098:B1098"/>
    <mergeCell ref="A1100:C1100"/>
    <mergeCell ref="A1110:C1110"/>
    <mergeCell ref="A1131:B1131"/>
    <mergeCell ref="A1094:C1094"/>
    <mergeCell ref="A1095:C1095"/>
    <mergeCell ref="A1096:C1096"/>
    <mergeCell ref="A1097:C1097"/>
    <mergeCell ref="A1137:C1137"/>
    <mergeCell ref="A1138:C1138"/>
    <mergeCell ref="A1139:C1139"/>
    <mergeCell ref="A1140:B1140"/>
    <mergeCell ref="A1133:B1133"/>
    <mergeCell ref="A1134:B1134"/>
    <mergeCell ref="A1135:C1135"/>
    <mergeCell ref="A1136:C1136"/>
    <mergeCell ref="A1176:B1176"/>
    <mergeCell ref="A1177:C1177"/>
    <mergeCell ref="A1178:C1178"/>
    <mergeCell ref="A1179:C1179"/>
    <mergeCell ref="A1142:C1142"/>
    <mergeCell ref="A1152:C1152"/>
    <mergeCell ref="A1173:B1173"/>
    <mergeCell ref="A1175:B1175"/>
    <mergeCell ref="A1194:C1194"/>
    <mergeCell ref="A1215:B1215"/>
    <mergeCell ref="A1217:B1217"/>
    <mergeCell ref="A1218:B1218"/>
    <mergeCell ref="A1180:C1180"/>
    <mergeCell ref="A1181:C1181"/>
    <mergeCell ref="A1182:B1182"/>
    <mergeCell ref="A1184:C1184"/>
    <mergeCell ref="A1223:C1223"/>
    <mergeCell ref="A1224:B1224"/>
    <mergeCell ref="A1226:C1226"/>
    <mergeCell ref="A1236:C1236"/>
    <mergeCell ref="A1219:C1219"/>
    <mergeCell ref="A1220:C1220"/>
    <mergeCell ref="A1221:C1221"/>
    <mergeCell ref="A1222:C1222"/>
    <mergeCell ref="A1262:C1262"/>
    <mergeCell ref="A1263:C1263"/>
    <mergeCell ref="A1264:C1264"/>
    <mergeCell ref="A1265:C1265"/>
    <mergeCell ref="A1257:B1257"/>
    <mergeCell ref="A1259:B1259"/>
    <mergeCell ref="A1260:B1260"/>
    <mergeCell ref="A1261:C1261"/>
    <mergeCell ref="A1301:B1301"/>
    <mergeCell ref="A1302:B1302"/>
    <mergeCell ref="A1266:B1266"/>
    <mergeCell ref="A1268:C1268"/>
    <mergeCell ref="A1278:C1278"/>
    <mergeCell ref="A1299:B1299"/>
  </mergeCells>
  <conditionalFormatting sqref="E68 E110 E152 E194 E236 E278 E320 E362 E404 E446 E488 E530 E572 E614 E656 E698 E740 E782 E824 E866 E908 E950 E992 E1034 E1076 E1118 E1160 E1202 E1244 E1286">
    <cfRule type="cellIs" priority="1" dxfId="26" operator="equal" stopIfTrue="1">
      <formula>C69</formula>
    </cfRule>
  </conditionalFormatting>
  <conditionalFormatting sqref="E69 E111 E153 E195 E237 E279 E321 E363 E405 E447 E489 E531 E573 E615 E657 E699 E741 E783 E825 E867 E909 E951 E993 E1035 E1077 E1119 E1161 E1203 E1245 E1287">
    <cfRule type="cellIs" priority="2" dxfId="26" operator="equal" stopIfTrue="1">
      <formula>C78</formula>
    </cfRule>
    <cfRule type="cellIs" priority="3" dxfId="23" operator="notEqual" stopIfTrue="1">
      <formula>C78</formula>
    </cfRule>
  </conditionalFormatting>
  <conditionalFormatting sqref="H40">
    <cfRule type="cellIs" priority="4" dxfId="26" operator="equal" stopIfTrue="1">
      <formula>$C$27</formula>
    </cfRule>
  </conditionalFormatting>
  <conditionalFormatting sqref="H41">
    <cfRule type="cellIs" priority="5" dxfId="26" operator="equal" stopIfTrue="1">
      <formula>$C$36</formula>
    </cfRule>
    <cfRule type="cellIs" priority="6" dxfId="23" operator="notEqual" stopIfTrue="1">
      <formula>$C$36</formula>
    </cfRule>
  </conditionalFormatting>
  <conditionalFormatting sqref="H42">
    <cfRule type="cellIs" priority="7" dxfId="26" operator="equal" stopIfTrue="1">
      <formula>$C$36</formula>
    </cfRule>
    <cfRule type="cellIs" priority="8" dxfId="21" operator="notEqual" stopIfTrue="1">
      <formula>$C$36</formula>
    </cfRule>
  </conditionalFormatting>
  <conditionalFormatting sqref="C27">
    <cfRule type="cellIs" priority="9" dxfId="23" operator="notEqual" stopIfTrue="1">
      <formula>$H$40</formula>
    </cfRule>
  </conditionalFormatting>
  <conditionalFormatting sqref="C36">
    <cfRule type="cellIs" priority="10" dxfId="23" operator="notEqual" stopIfTrue="1">
      <formula>$H$41</formula>
    </cfRule>
  </conditionalFormatting>
  <printOptions horizontalCentered="1"/>
  <pageMargins left="0.5905511811023623" right="0.1968503937007874" top="0" bottom="0.1968503937007874" header="0.5118110236220472" footer="0.5118110236220472"/>
  <pageSetup horizontalDpi="600" verticalDpi="600" orientation="portrait" paperSize="9" r:id="rId1"/>
  <rowBreaks count="30" manualBreakCount="30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  <brk id="420" max="255" man="1"/>
    <brk id="462" max="255" man="1"/>
    <brk id="504" max="255" man="1"/>
    <brk id="546" max="255" man="1"/>
    <brk id="588" max="255" man="1"/>
    <brk id="630" max="255" man="1"/>
    <brk id="672" max="255" man="1"/>
    <brk id="714" max="255" man="1"/>
    <brk id="756" max="255" man="1"/>
    <brk id="798" max="255" man="1"/>
    <brk id="840" max="255" man="1"/>
    <brk id="882" max="255" man="1"/>
    <brk id="924" max="255" man="1"/>
    <brk id="966" max="255" man="1"/>
    <brk id="1008" max="255" man="1"/>
    <brk id="1050" max="255" man="1"/>
    <brk id="1092" max="255" man="1"/>
    <brk id="1134" max="255" man="1"/>
    <brk id="1176" max="255" man="1"/>
    <brk id="1218" max="255" man="1"/>
    <brk id="12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8"/>
  <sheetViews>
    <sheetView showGridLines="0" showZeros="0" zoomScalePageLayoutView="0" workbookViewId="0" topLeftCell="A1">
      <pane xSplit="1" ySplit="4" topLeftCell="B5" activePane="bottomRight" state="frozen"/>
      <selection pane="topLeft" activeCell="F495" sqref="F495"/>
      <selection pane="topRight" activeCell="F495" sqref="F495"/>
      <selection pane="bottomLeft" activeCell="F495" sqref="F495"/>
      <selection pane="bottomRight" activeCell="M8" sqref="M8"/>
    </sheetView>
  </sheetViews>
  <sheetFormatPr defaultColWidth="9.140625" defaultRowHeight="12.75" outlineLevelCol="1"/>
  <cols>
    <col min="1" max="1" width="9.140625" style="169" hidden="1" customWidth="1" outlineLevel="1"/>
    <col min="2" max="2" width="19.57421875" style="169" hidden="1" customWidth="1" outlineLevel="1"/>
    <col min="3" max="3" width="9.140625" style="169" hidden="1" customWidth="1" outlineLevel="1"/>
    <col min="4" max="4" width="10.7109375" style="169" hidden="1" customWidth="1" outlineLevel="1"/>
    <col min="5" max="5" width="12.140625" style="181" hidden="1" customWidth="1" outlineLevel="1"/>
    <col min="6" max="6" width="10.7109375" style="168" hidden="1" customWidth="1" outlineLevel="1"/>
    <col min="7" max="8" width="9.140625" style="169" hidden="1" customWidth="1" outlineLevel="1"/>
    <col min="9" max="9" width="12.140625" style="169" hidden="1" customWidth="1" outlineLevel="1"/>
    <col min="10" max="10" width="9.140625" style="169" hidden="1" customWidth="1" outlineLevel="1"/>
    <col min="11" max="11" width="9.140625" style="169" customWidth="1" collapsed="1"/>
    <col min="12" max="16384" width="9.140625" style="169" customWidth="1"/>
  </cols>
  <sheetData>
    <row r="1" spans="4:10" ht="12.75" customHeight="1">
      <c r="D1" s="213" t="s">
        <v>122</v>
      </c>
      <c r="E1" s="213"/>
      <c r="F1" s="213"/>
      <c r="G1" s="183"/>
      <c r="H1" s="213" t="s">
        <v>123</v>
      </c>
      <c r="I1" s="213"/>
      <c r="J1" s="213"/>
    </row>
    <row r="2" spans="4:10" ht="15.75">
      <c r="D2" s="170"/>
      <c r="E2" s="170"/>
      <c r="H2" s="170"/>
      <c r="I2" s="170"/>
      <c r="J2" s="168"/>
    </row>
    <row r="3" spans="1:10" s="174" customFormat="1" ht="30.75" customHeight="1">
      <c r="A3" s="175"/>
      <c r="D3" s="171" t="s">
        <v>90</v>
      </c>
      <c r="E3" s="172" t="s">
        <v>91</v>
      </c>
      <c r="F3" s="173" t="s">
        <v>92</v>
      </c>
      <c r="H3" s="171" t="s">
        <v>90</v>
      </c>
      <c r="I3" s="172" t="s">
        <v>91</v>
      </c>
      <c r="J3" s="173" t="s">
        <v>92</v>
      </c>
    </row>
    <row r="4" spans="4:13" s="174" customFormat="1" ht="15" customHeight="1">
      <c r="D4" s="171">
        <v>12</v>
      </c>
      <c r="E4" s="172"/>
      <c r="F4" s="176">
        <f>B19*100</f>
        <v>7.3</v>
      </c>
      <c r="H4" s="171">
        <v>12</v>
      </c>
      <c r="I4" s="172"/>
      <c r="J4" s="176">
        <f>B20*100</f>
        <v>6.9</v>
      </c>
      <c r="L4" s="172"/>
      <c r="M4" s="176"/>
    </row>
    <row r="5" spans="4:13" ht="12.75">
      <c r="D5" s="177">
        <v>1</v>
      </c>
      <c r="E5" s="178">
        <v>40909</v>
      </c>
      <c r="F5" s="179">
        <f>F$4/D$4/100/2</f>
        <v>0.0030416666666666665</v>
      </c>
      <c r="H5" s="177">
        <v>1</v>
      </c>
      <c r="I5" s="178">
        <v>41275</v>
      </c>
      <c r="J5" s="179">
        <f>J$4/H$4/100/2</f>
        <v>0.0028750000000000004</v>
      </c>
      <c r="L5" s="178"/>
      <c r="M5" s="179"/>
    </row>
    <row r="6" spans="1:13" ht="12.75">
      <c r="A6" s="188" t="s">
        <v>77</v>
      </c>
      <c r="B6" s="188" t="s">
        <v>78</v>
      </c>
      <c r="D6" s="177">
        <v>2</v>
      </c>
      <c r="E6" s="178">
        <v>40910</v>
      </c>
      <c r="F6" s="179">
        <f aca="true" t="shared" si="0" ref="F6:F24">F$4/D$4/100/2</f>
        <v>0.0030416666666666665</v>
      </c>
      <c r="H6" s="177">
        <v>2</v>
      </c>
      <c r="I6" s="178">
        <v>41276</v>
      </c>
      <c r="J6" s="179">
        <f aca="true" t="shared" si="1" ref="J6:J24">J$4/H$4/100/2</f>
        <v>0.0028750000000000004</v>
      </c>
      <c r="L6" s="178"/>
      <c r="M6" s="179"/>
    </row>
    <row r="7" spans="1:13" ht="12.75">
      <c r="A7" s="189">
        <v>2000</v>
      </c>
      <c r="B7" s="190">
        <v>0.3332</v>
      </c>
      <c r="D7" s="177">
        <v>3</v>
      </c>
      <c r="E7" s="178">
        <v>40911</v>
      </c>
      <c r="F7" s="179">
        <f t="shared" si="0"/>
        <v>0.0030416666666666665</v>
      </c>
      <c r="H7" s="177">
        <v>3</v>
      </c>
      <c r="I7" s="178">
        <v>41277</v>
      </c>
      <c r="J7" s="179">
        <f t="shared" si="1"/>
        <v>0.0028750000000000004</v>
      </c>
      <c r="L7" s="178"/>
      <c r="M7" s="179"/>
    </row>
    <row r="8" spans="1:13" ht="12.75">
      <c r="A8" s="184">
        <v>2001</v>
      </c>
      <c r="B8" s="185">
        <v>0.2758</v>
      </c>
      <c r="D8" s="177">
        <v>4</v>
      </c>
      <c r="E8" s="178">
        <v>40912</v>
      </c>
      <c r="F8" s="179">
        <f t="shared" si="0"/>
        <v>0.0030416666666666665</v>
      </c>
      <c r="H8" s="177">
        <v>4</v>
      </c>
      <c r="I8" s="178">
        <v>41278</v>
      </c>
      <c r="J8" s="179">
        <f t="shared" si="1"/>
        <v>0.0028750000000000004</v>
      </c>
      <c r="L8" s="178"/>
      <c r="M8" s="179"/>
    </row>
    <row r="9" spans="1:13" ht="12.75">
      <c r="A9" s="184">
        <v>2002</v>
      </c>
      <c r="B9" s="185">
        <v>0.1264</v>
      </c>
      <c r="D9" s="177">
        <v>5</v>
      </c>
      <c r="E9" s="178">
        <v>40913</v>
      </c>
      <c r="F9" s="179">
        <f t="shared" si="0"/>
        <v>0.0030416666666666665</v>
      </c>
      <c r="H9" s="177">
        <v>5</v>
      </c>
      <c r="I9" s="178">
        <v>41279</v>
      </c>
      <c r="J9" s="179">
        <f t="shared" si="1"/>
        <v>0.0028750000000000004</v>
      </c>
      <c r="L9" s="178"/>
      <c r="M9" s="179"/>
    </row>
    <row r="10" spans="1:13" ht="12.75">
      <c r="A10" s="184">
        <v>2003</v>
      </c>
      <c r="B10" s="185">
        <v>0.1494</v>
      </c>
      <c r="D10" s="177">
        <v>6</v>
      </c>
      <c r="E10" s="178">
        <v>40914</v>
      </c>
      <c r="F10" s="179">
        <f t="shared" si="0"/>
        <v>0.0030416666666666665</v>
      </c>
      <c r="H10" s="177">
        <v>6</v>
      </c>
      <c r="I10" s="178">
        <v>41280</v>
      </c>
      <c r="J10" s="179">
        <f t="shared" si="1"/>
        <v>0.0028750000000000004</v>
      </c>
      <c r="L10" s="178"/>
      <c r="M10" s="179"/>
    </row>
    <row r="11" spans="1:13" ht="12.75">
      <c r="A11" s="184">
        <v>2004</v>
      </c>
      <c r="B11" s="185">
        <v>0.158</v>
      </c>
      <c r="D11" s="177">
        <v>7</v>
      </c>
      <c r="E11" s="178">
        <v>40915</v>
      </c>
      <c r="F11" s="179">
        <f t="shared" si="0"/>
        <v>0.0030416666666666665</v>
      </c>
      <c r="H11" s="177">
        <v>7</v>
      </c>
      <c r="I11" s="178">
        <v>41281</v>
      </c>
      <c r="J11" s="179">
        <f t="shared" si="1"/>
        <v>0.0028750000000000004</v>
      </c>
      <c r="L11" s="178"/>
      <c r="M11" s="179"/>
    </row>
    <row r="12" spans="1:13" ht="12.75">
      <c r="A12" s="184">
        <v>2005</v>
      </c>
      <c r="B12" s="185">
        <v>0.1329</v>
      </c>
      <c r="D12" s="177">
        <v>8</v>
      </c>
      <c r="E12" s="178">
        <v>40916</v>
      </c>
      <c r="F12" s="179">
        <f t="shared" si="0"/>
        <v>0.0030416666666666665</v>
      </c>
      <c r="H12" s="177">
        <v>8</v>
      </c>
      <c r="I12" s="178">
        <v>41282</v>
      </c>
      <c r="J12" s="179">
        <f t="shared" si="1"/>
        <v>0.0028750000000000004</v>
      </c>
      <c r="L12" s="178"/>
      <c r="M12" s="179"/>
    </row>
    <row r="13" spans="1:13" ht="12.75">
      <c r="A13" s="184">
        <v>2006</v>
      </c>
      <c r="B13" s="185">
        <v>0.111</v>
      </c>
      <c r="D13" s="177">
        <v>9</v>
      </c>
      <c r="E13" s="178">
        <v>40917</v>
      </c>
      <c r="F13" s="179">
        <f t="shared" si="0"/>
        <v>0.0030416666666666665</v>
      </c>
      <c r="H13" s="177">
        <v>9</v>
      </c>
      <c r="I13" s="178">
        <v>41283</v>
      </c>
      <c r="J13" s="179">
        <f t="shared" si="1"/>
        <v>0.0028750000000000004</v>
      </c>
      <c r="L13" s="178"/>
      <c r="M13" s="179"/>
    </row>
    <row r="14" spans="1:13" ht="12.75">
      <c r="A14" s="184">
        <v>2007</v>
      </c>
      <c r="B14" s="185">
        <v>0.113</v>
      </c>
      <c r="D14" s="177">
        <v>10</v>
      </c>
      <c r="E14" s="178">
        <v>40918</v>
      </c>
      <c r="F14" s="179">
        <f t="shared" si="0"/>
        <v>0.0030416666666666665</v>
      </c>
      <c r="H14" s="177">
        <v>10</v>
      </c>
      <c r="I14" s="178">
        <v>41284</v>
      </c>
      <c r="J14" s="179">
        <f t="shared" si="1"/>
        <v>0.0028750000000000004</v>
      </c>
      <c r="L14" s="178"/>
      <c r="M14" s="179"/>
    </row>
    <row r="15" spans="1:13" ht="12.75">
      <c r="A15" s="184">
        <v>2008</v>
      </c>
      <c r="B15" s="185">
        <v>0.088</v>
      </c>
      <c r="D15" s="177">
        <v>11</v>
      </c>
      <c r="E15" s="178">
        <v>40919</v>
      </c>
      <c r="F15" s="179">
        <f t="shared" si="0"/>
        <v>0.0030416666666666665</v>
      </c>
      <c r="H15" s="177">
        <v>11</v>
      </c>
      <c r="I15" s="178">
        <v>41285</v>
      </c>
      <c r="J15" s="179">
        <f t="shared" si="1"/>
        <v>0.0028750000000000004</v>
      </c>
      <c r="L15" s="178"/>
      <c r="M15" s="179"/>
    </row>
    <row r="16" spans="1:13" ht="12.75">
      <c r="A16" s="184">
        <v>2009</v>
      </c>
      <c r="B16" s="185">
        <v>0.08</v>
      </c>
      <c r="D16" s="177">
        <v>12</v>
      </c>
      <c r="E16" s="178">
        <v>40920</v>
      </c>
      <c r="F16" s="179">
        <f t="shared" si="0"/>
        <v>0.0030416666666666665</v>
      </c>
      <c r="H16" s="177">
        <v>12</v>
      </c>
      <c r="I16" s="178">
        <v>41286</v>
      </c>
      <c r="J16" s="179">
        <f t="shared" si="1"/>
        <v>0.0028750000000000004</v>
      </c>
      <c r="L16" s="178"/>
      <c r="M16" s="179"/>
    </row>
    <row r="17" spans="1:13" ht="12.75">
      <c r="A17" s="184">
        <v>2010</v>
      </c>
      <c r="B17" s="185">
        <v>0.08</v>
      </c>
      <c r="D17" s="177">
        <v>13</v>
      </c>
      <c r="E17" s="178">
        <v>40921</v>
      </c>
      <c r="F17" s="179">
        <f t="shared" si="0"/>
        <v>0.0030416666666666665</v>
      </c>
      <c r="H17" s="177">
        <v>13</v>
      </c>
      <c r="I17" s="178">
        <v>41287</v>
      </c>
      <c r="J17" s="179">
        <f t="shared" si="1"/>
        <v>0.0028750000000000004</v>
      </c>
      <c r="L17" s="178"/>
      <c r="M17" s="179"/>
    </row>
    <row r="18" spans="1:13" ht="12.75">
      <c r="A18" s="184">
        <v>2011</v>
      </c>
      <c r="B18" s="185">
        <v>0.076</v>
      </c>
      <c r="D18" s="177">
        <v>14</v>
      </c>
      <c r="E18" s="178">
        <v>40922</v>
      </c>
      <c r="F18" s="179">
        <f t="shared" si="0"/>
        <v>0.0030416666666666665</v>
      </c>
      <c r="H18" s="177">
        <v>14</v>
      </c>
      <c r="I18" s="178">
        <v>41288</v>
      </c>
      <c r="J18" s="179">
        <f t="shared" si="1"/>
        <v>0.0028750000000000004</v>
      </c>
      <c r="L18" s="178"/>
      <c r="M18" s="179"/>
    </row>
    <row r="19" spans="1:13" ht="12.75">
      <c r="A19" s="184">
        <v>2012</v>
      </c>
      <c r="B19" s="185">
        <v>0.073</v>
      </c>
      <c r="D19" s="177">
        <v>15</v>
      </c>
      <c r="E19" s="178">
        <v>40923</v>
      </c>
      <c r="F19" s="179">
        <f t="shared" si="0"/>
        <v>0.0030416666666666665</v>
      </c>
      <c r="H19" s="177">
        <v>15</v>
      </c>
      <c r="I19" s="178">
        <v>41289</v>
      </c>
      <c r="J19" s="179">
        <f t="shared" si="1"/>
        <v>0.0028750000000000004</v>
      </c>
      <c r="L19" s="178"/>
      <c r="M19" s="179"/>
    </row>
    <row r="20" spans="1:13" ht="12.75">
      <c r="A20" s="184">
        <v>2013</v>
      </c>
      <c r="B20" s="185">
        <v>0.069</v>
      </c>
      <c r="D20" s="177">
        <v>16</v>
      </c>
      <c r="E20" s="178">
        <v>40924</v>
      </c>
      <c r="F20" s="179">
        <f t="shared" si="0"/>
        <v>0.0030416666666666665</v>
      </c>
      <c r="H20" s="177">
        <v>16</v>
      </c>
      <c r="I20" s="178">
        <v>41290</v>
      </c>
      <c r="J20" s="179">
        <f t="shared" si="1"/>
        <v>0.0028750000000000004</v>
      </c>
      <c r="L20" s="178"/>
      <c r="M20" s="179"/>
    </row>
    <row r="21" spans="1:13" ht="12.75">
      <c r="A21" s="184">
        <v>2014</v>
      </c>
      <c r="B21" s="185">
        <v>0.065</v>
      </c>
      <c r="D21" s="177">
        <v>17</v>
      </c>
      <c r="E21" s="178">
        <v>40925</v>
      </c>
      <c r="F21" s="179">
        <f t="shared" si="0"/>
        <v>0.0030416666666666665</v>
      </c>
      <c r="H21" s="177">
        <v>17</v>
      </c>
      <c r="I21" s="178">
        <v>41291</v>
      </c>
      <c r="J21" s="179">
        <f t="shared" si="1"/>
        <v>0.0028750000000000004</v>
      </c>
      <c r="L21" s="178"/>
      <c r="M21" s="179"/>
    </row>
    <row r="22" spans="1:13" ht="12.75">
      <c r="A22" s="186">
        <v>2015</v>
      </c>
      <c r="B22" s="187">
        <v>0.055</v>
      </c>
      <c r="D22" s="177">
        <v>18</v>
      </c>
      <c r="E22" s="178">
        <v>40926</v>
      </c>
      <c r="F22" s="179">
        <f t="shared" si="0"/>
        <v>0.0030416666666666665</v>
      </c>
      <c r="H22" s="177">
        <v>18</v>
      </c>
      <c r="I22" s="178">
        <v>41292</v>
      </c>
      <c r="J22" s="179">
        <f t="shared" si="1"/>
        <v>0.0028750000000000004</v>
      </c>
      <c r="L22" s="178"/>
      <c r="M22" s="179"/>
    </row>
    <row r="23" spans="2:13" ht="12.75">
      <c r="B23" s="180"/>
      <c r="D23" s="177">
        <v>19</v>
      </c>
      <c r="E23" s="178">
        <v>40927</v>
      </c>
      <c r="F23" s="179">
        <f t="shared" si="0"/>
        <v>0.0030416666666666665</v>
      </c>
      <c r="H23" s="177">
        <v>19</v>
      </c>
      <c r="I23" s="178">
        <v>41293</v>
      </c>
      <c r="J23" s="179">
        <f t="shared" si="1"/>
        <v>0.0028750000000000004</v>
      </c>
      <c r="L23" s="178"/>
      <c r="M23" s="179"/>
    </row>
    <row r="24" spans="1:13" ht="12.75">
      <c r="A24" s="180"/>
      <c r="D24" s="177">
        <v>20</v>
      </c>
      <c r="E24" s="178">
        <v>40928</v>
      </c>
      <c r="F24" s="179">
        <f t="shared" si="0"/>
        <v>0.0030416666666666665</v>
      </c>
      <c r="H24" s="177">
        <v>20</v>
      </c>
      <c r="I24" s="178">
        <v>41294</v>
      </c>
      <c r="J24" s="179">
        <f t="shared" si="1"/>
        <v>0.0028750000000000004</v>
      </c>
      <c r="L24" s="178"/>
      <c r="M24" s="179"/>
    </row>
    <row r="25" spans="1:13" ht="12.75">
      <c r="A25" s="180"/>
      <c r="B25" s="180"/>
      <c r="D25" s="177">
        <v>21</v>
      </c>
      <c r="E25" s="178">
        <v>40929</v>
      </c>
      <c r="F25" s="179">
        <f>F$4/D$4/100</f>
        <v>0.006083333333333333</v>
      </c>
      <c r="H25" s="177">
        <v>21</v>
      </c>
      <c r="I25" s="178">
        <v>41295</v>
      </c>
      <c r="J25" s="179">
        <f>J$4/H$4/100</f>
        <v>0.005750000000000001</v>
      </c>
      <c r="L25" s="178"/>
      <c r="M25" s="179"/>
    </row>
    <row r="26" spans="1:13" ht="12.75">
      <c r="A26" s="180"/>
      <c r="B26" s="180"/>
      <c r="D26" s="177">
        <v>22</v>
      </c>
      <c r="E26" s="178">
        <v>40930</v>
      </c>
      <c r="F26" s="179">
        <f aca="true" t="shared" si="2" ref="F26:F35">F$4/D$4/100</f>
        <v>0.006083333333333333</v>
      </c>
      <c r="H26" s="177">
        <v>22</v>
      </c>
      <c r="I26" s="178">
        <v>41296</v>
      </c>
      <c r="J26" s="179">
        <f aca="true" t="shared" si="3" ref="J26:J35">J$4/H$4/100</f>
        <v>0.005750000000000001</v>
      </c>
      <c r="L26" s="178"/>
      <c r="M26" s="179"/>
    </row>
    <row r="27" spans="1:13" ht="12.75">
      <c r="A27" s="180"/>
      <c r="D27" s="177">
        <v>23</v>
      </c>
      <c r="E27" s="178">
        <v>40931</v>
      </c>
      <c r="F27" s="179">
        <f t="shared" si="2"/>
        <v>0.006083333333333333</v>
      </c>
      <c r="H27" s="177">
        <v>23</v>
      </c>
      <c r="I27" s="178">
        <v>41297</v>
      </c>
      <c r="J27" s="179">
        <f t="shared" si="3"/>
        <v>0.005750000000000001</v>
      </c>
      <c r="L27" s="178"/>
      <c r="M27" s="179"/>
    </row>
    <row r="28" spans="4:13" ht="12.75">
      <c r="D28" s="177">
        <v>24</v>
      </c>
      <c r="E28" s="178">
        <v>40932</v>
      </c>
      <c r="F28" s="179">
        <f t="shared" si="2"/>
        <v>0.006083333333333333</v>
      </c>
      <c r="H28" s="177">
        <v>24</v>
      </c>
      <c r="I28" s="178">
        <v>41298</v>
      </c>
      <c r="J28" s="179">
        <f t="shared" si="3"/>
        <v>0.005750000000000001</v>
      </c>
      <c r="L28" s="178"/>
      <c r="M28" s="179"/>
    </row>
    <row r="29" spans="4:13" ht="12.75">
      <c r="D29" s="177">
        <v>25</v>
      </c>
      <c r="E29" s="178">
        <v>40933</v>
      </c>
      <c r="F29" s="179">
        <f t="shared" si="2"/>
        <v>0.006083333333333333</v>
      </c>
      <c r="H29" s="177">
        <v>25</v>
      </c>
      <c r="I29" s="178">
        <v>41299</v>
      </c>
      <c r="J29" s="179">
        <f t="shared" si="3"/>
        <v>0.005750000000000001</v>
      </c>
      <c r="L29" s="178"/>
      <c r="M29" s="179"/>
    </row>
    <row r="30" spans="4:13" ht="12.75">
      <c r="D30" s="177">
        <v>26</v>
      </c>
      <c r="E30" s="178">
        <v>40934</v>
      </c>
      <c r="F30" s="179">
        <f t="shared" si="2"/>
        <v>0.006083333333333333</v>
      </c>
      <c r="H30" s="177">
        <v>26</v>
      </c>
      <c r="I30" s="178">
        <v>41300</v>
      </c>
      <c r="J30" s="179">
        <f t="shared" si="3"/>
        <v>0.005750000000000001</v>
      </c>
      <c r="L30" s="178"/>
      <c r="M30" s="179"/>
    </row>
    <row r="31" spans="4:13" ht="12.75">
      <c r="D31" s="177">
        <v>27</v>
      </c>
      <c r="E31" s="178">
        <v>40935</v>
      </c>
      <c r="F31" s="179">
        <f t="shared" si="2"/>
        <v>0.006083333333333333</v>
      </c>
      <c r="H31" s="177">
        <v>27</v>
      </c>
      <c r="I31" s="178">
        <v>41301</v>
      </c>
      <c r="J31" s="179">
        <f t="shared" si="3"/>
        <v>0.005750000000000001</v>
      </c>
      <c r="L31" s="178"/>
      <c r="M31" s="179"/>
    </row>
    <row r="32" spans="4:13" ht="12.75">
      <c r="D32" s="177">
        <v>28</v>
      </c>
      <c r="E32" s="178">
        <v>40936</v>
      </c>
      <c r="F32" s="179">
        <f t="shared" si="2"/>
        <v>0.006083333333333333</v>
      </c>
      <c r="H32" s="177">
        <v>28</v>
      </c>
      <c r="I32" s="178">
        <v>41302</v>
      </c>
      <c r="J32" s="179">
        <f t="shared" si="3"/>
        <v>0.005750000000000001</v>
      </c>
      <c r="L32" s="178"/>
      <c r="M32" s="179"/>
    </row>
    <row r="33" spans="4:13" ht="12.75">
      <c r="D33" s="177">
        <v>29</v>
      </c>
      <c r="E33" s="178">
        <v>40937</v>
      </c>
      <c r="F33" s="179">
        <f t="shared" si="2"/>
        <v>0.006083333333333333</v>
      </c>
      <c r="H33" s="177">
        <v>29</v>
      </c>
      <c r="I33" s="178">
        <v>41303</v>
      </c>
      <c r="J33" s="179">
        <f t="shared" si="3"/>
        <v>0.005750000000000001</v>
      </c>
      <c r="L33" s="178"/>
      <c r="M33" s="179"/>
    </row>
    <row r="34" spans="4:13" ht="12.75">
      <c r="D34" s="177">
        <v>30</v>
      </c>
      <c r="E34" s="178">
        <v>40938</v>
      </c>
      <c r="F34" s="179">
        <f t="shared" si="2"/>
        <v>0.006083333333333333</v>
      </c>
      <c r="H34" s="177">
        <v>30</v>
      </c>
      <c r="I34" s="178">
        <v>41304</v>
      </c>
      <c r="J34" s="179">
        <f t="shared" si="3"/>
        <v>0.005750000000000001</v>
      </c>
      <c r="L34" s="178"/>
      <c r="M34" s="179"/>
    </row>
    <row r="35" spans="4:13" ht="12.75">
      <c r="D35" s="177">
        <v>31</v>
      </c>
      <c r="E35" s="178">
        <v>40939</v>
      </c>
      <c r="F35" s="179">
        <f t="shared" si="2"/>
        <v>0.006083333333333333</v>
      </c>
      <c r="H35" s="177">
        <v>31</v>
      </c>
      <c r="I35" s="178">
        <v>41305</v>
      </c>
      <c r="J35" s="179">
        <f t="shared" si="3"/>
        <v>0.005750000000000001</v>
      </c>
      <c r="L35" s="178"/>
      <c r="M35" s="179"/>
    </row>
    <row r="36" spans="4:13" ht="12.75">
      <c r="D36" s="177">
        <v>32</v>
      </c>
      <c r="E36" s="178">
        <v>40940</v>
      </c>
      <c r="F36" s="179">
        <f>F5+F$4/D$4/100</f>
        <v>0.009125</v>
      </c>
      <c r="H36" s="177">
        <v>32</v>
      </c>
      <c r="I36" s="178">
        <v>41306</v>
      </c>
      <c r="J36" s="179">
        <f>J5+J$4/H$4/100</f>
        <v>0.008625</v>
      </c>
      <c r="L36" s="178"/>
      <c r="M36" s="179"/>
    </row>
    <row r="37" spans="4:13" ht="12.75">
      <c r="D37" s="177">
        <v>33</v>
      </c>
      <c r="E37" s="178">
        <v>40941</v>
      </c>
      <c r="F37" s="179">
        <f aca="true" t="shared" si="4" ref="F37:F55">F6+F$4/D$4/100</f>
        <v>0.009125</v>
      </c>
      <c r="H37" s="177">
        <v>33</v>
      </c>
      <c r="I37" s="178">
        <v>41307</v>
      </c>
      <c r="J37" s="179">
        <f aca="true" t="shared" si="5" ref="J37:J55">J6+J$4/H$4/100</f>
        <v>0.008625</v>
      </c>
      <c r="L37" s="178"/>
      <c r="M37" s="179"/>
    </row>
    <row r="38" spans="4:13" ht="12.75">
      <c r="D38" s="177">
        <v>34</v>
      </c>
      <c r="E38" s="178">
        <v>40942</v>
      </c>
      <c r="F38" s="179">
        <f t="shared" si="4"/>
        <v>0.009125</v>
      </c>
      <c r="H38" s="177">
        <v>34</v>
      </c>
      <c r="I38" s="178">
        <v>41308</v>
      </c>
      <c r="J38" s="179">
        <f t="shared" si="5"/>
        <v>0.008625</v>
      </c>
      <c r="L38" s="178"/>
      <c r="M38" s="179"/>
    </row>
    <row r="39" spans="4:13" ht="12.75">
      <c r="D39" s="177">
        <v>35</v>
      </c>
      <c r="E39" s="178">
        <v>40943</v>
      </c>
      <c r="F39" s="179">
        <f t="shared" si="4"/>
        <v>0.009125</v>
      </c>
      <c r="H39" s="177">
        <v>35</v>
      </c>
      <c r="I39" s="178">
        <v>41309</v>
      </c>
      <c r="J39" s="179">
        <f t="shared" si="5"/>
        <v>0.008625</v>
      </c>
      <c r="L39" s="178"/>
      <c r="M39" s="179"/>
    </row>
    <row r="40" spans="4:13" ht="12.75">
      <c r="D40" s="177">
        <v>36</v>
      </c>
      <c r="E40" s="178">
        <v>40944</v>
      </c>
      <c r="F40" s="179">
        <f t="shared" si="4"/>
        <v>0.009125</v>
      </c>
      <c r="H40" s="177">
        <v>36</v>
      </c>
      <c r="I40" s="178">
        <v>41310</v>
      </c>
      <c r="J40" s="179">
        <f t="shared" si="5"/>
        <v>0.008625</v>
      </c>
      <c r="L40" s="178"/>
      <c r="M40" s="179"/>
    </row>
    <row r="41" spans="4:13" ht="12.75">
      <c r="D41" s="177">
        <v>37</v>
      </c>
      <c r="E41" s="178">
        <v>40945</v>
      </c>
      <c r="F41" s="179">
        <f t="shared" si="4"/>
        <v>0.009125</v>
      </c>
      <c r="H41" s="177">
        <v>37</v>
      </c>
      <c r="I41" s="178">
        <v>41311</v>
      </c>
      <c r="J41" s="179">
        <f t="shared" si="5"/>
        <v>0.008625</v>
      </c>
      <c r="L41" s="178"/>
      <c r="M41" s="179"/>
    </row>
    <row r="42" spans="4:13" ht="12.75">
      <c r="D42" s="177">
        <v>38</v>
      </c>
      <c r="E42" s="178">
        <v>40946</v>
      </c>
      <c r="F42" s="179">
        <f t="shared" si="4"/>
        <v>0.009125</v>
      </c>
      <c r="H42" s="177">
        <v>38</v>
      </c>
      <c r="I42" s="178">
        <v>41312</v>
      </c>
      <c r="J42" s="179">
        <f t="shared" si="5"/>
        <v>0.008625</v>
      </c>
      <c r="L42" s="178"/>
      <c r="M42" s="179"/>
    </row>
    <row r="43" spans="4:13" ht="12.75">
      <c r="D43" s="177">
        <v>39</v>
      </c>
      <c r="E43" s="178">
        <v>40947</v>
      </c>
      <c r="F43" s="179">
        <f t="shared" si="4"/>
        <v>0.009125</v>
      </c>
      <c r="H43" s="177">
        <v>39</v>
      </c>
      <c r="I43" s="178">
        <v>41313</v>
      </c>
      <c r="J43" s="179">
        <f t="shared" si="5"/>
        <v>0.008625</v>
      </c>
      <c r="L43" s="178"/>
      <c r="M43" s="179"/>
    </row>
    <row r="44" spans="4:13" ht="12.75">
      <c r="D44" s="177">
        <v>40</v>
      </c>
      <c r="E44" s="178">
        <v>40948</v>
      </c>
      <c r="F44" s="179">
        <f t="shared" si="4"/>
        <v>0.009125</v>
      </c>
      <c r="H44" s="177">
        <v>40</v>
      </c>
      <c r="I44" s="178">
        <v>41314</v>
      </c>
      <c r="J44" s="179">
        <f t="shared" si="5"/>
        <v>0.008625</v>
      </c>
      <c r="L44" s="178"/>
      <c r="M44" s="179"/>
    </row>
    <row r="45" spans="4:13" ht="12.75">
      <c r="D45" s="177">
        <v>41</v>
      </c>
      <c r="E45" s="178">
        <v>40949</v>
      </c>
      <c r="F45" s="179">
        <f t="shared" si="4"/>
        <v>0.009125</v>
      </c>
      <c r="H45" s="177">
        <v>41</v>
      </c>
      <c r="I45" s="178">
        <v>41315</v>
      </c>
      <c r="J45" s="179">
        <f t="shared" si="5"/>
        <v>0.008625</v>
      </c>
      <c r="L45" s="178"/>
      <c r="M45" s="179"/>
    </row>
    <row r="46" spans="4:13" ht="12.75">
      <c r="D46" s="177">
        <v>42</v>
      </c>
      <c r="E46" s="178">
        <v>40950</v>
      </c>
      <c r="F46" s="179">
        <f t="shared" si="4"/>
        <v>0.009125</v>
      </c>
      <c r="H46" s="177">
        <v>42</v>
      </c>
      <c r="I46" s="178">
        <v>41316</v>
      </c>
      <c r="J46" s="179">
        <f t="shared" si="5"/>
        <v>0.008625</v>
      </c>
      <c r="L46" s="178"/>
      <c r="M46" s="179"/>
    </row>
    <row r="47" spans="4:13" ht="12.75">
      <c r="D47" s="177">
        <v>43</v>
      </c>
      <c r="E47" s="178">
        <v>40951</v>
      </c>
      <c r="F47" s="179">
        <f t="shared" si="4"/>
        <v>0.009125</v>
      </c>
      <c r="H47" s="177">
        <v>43</v>
      </c>
      <c r="I47" s="178">
        <v>41317</v>
      </c>
      <c r="J47" s="179">
        <f t="shared" si="5"/>
        <v>0.008625</v>
      </c>
      <c r="L47" s="178"/>
      <c r="M47" s="179"/>
    </row>
    <row r="48" spans="4:13" ht="12.75">
      <c r="D48" s="177">
        <v>44</v>
      </c>
      <c r="E48" s="178">
        <v>40952</v>
      </c>
      <c r="F48" s="179">
        <f t="shared" si="4"/>
        <v>0.009125</v>
      </c>
      <c r="H48" s="177">
        <v>44</v>
      </c>
      <c r="I48" s="178">
        <v>41318</v>
      </c>
      <c r="J48" s="179">
        <f t="shared" si="5"/>
        <v>0.008625</v>
      </c>
      <c r="L48" s="178"/>
      <c r="M48" s="179"/>
    </row>
    <row r="49" spans="4:13" ht="12.75">
      <c r="D49" s="177">
        <v>45</v>
      </c>
      <c r="E49" s="178">
        <v>40953</v>
      </c>
      <c r="F49" s="179">
        <f t="shared" si="4"/>
        <v>0.009125</v>
      </c>
      <c r="H49" s="177">
        <v>45</v>
      </c>
      <c r="I49" s="178">
        <v>41319</v>
      </c>
      <c r="J49" s="179">
        <f t="shared" si="5"/>
        <v>0.008625</v>
      </c>
      <c r="L49" s="178"/>
      <c r="M49" s="179"/>
    </row>
    <row r="50" spans="4:13" ht="12.75">
      <c r="D50" s="177">
        <v>46</v>
      </c>
      <c r="E50" s="178">
        <v>40954</v>
      </c>
      <c r="F50" s="179">
        <f t="shared" si="4"/>
        <v>0.009125</v>
      </c>
      <c r="H50" s="177">
        <v>46</v>
      </c>
      <c r="I50" s="178">
        <v>41320</v>
      </c>
      <c r="J50" s="179">
        <f t="shared" si="5"/>
        <v>0.008625</v>
      </c>
      <c r="L50" s="178"/>
      <c r="M50" s="179"/>
    </row>
    <row r="51" spans="4:13" ht="12.75">
      <c r="D51" s="177">
        <v>47</v>
      </c>
      <c r="E51" s="178">
        <v>40955</v>
      </c>
      <c r="F51" s="179">
        <f t="shared" si="4"/>
        <v>0.009125</v>
      </c>
      <c r="H51" s="177">
        <v>47</v>
      </c>
      <c r="I51" s="178">
        <v>41321</v>
      </c>
      <c r="J51" s="179">
        <f t="shared" si="5"/>
        <v>0.008625</v>
      </c>
      <c r="L51" s="178"/>
      <c r="M51" s="179"/>
    </row>
    <row r="52" spans="4:13" ht="12.75">
      <c r="D52" s="177">
        <v>48</v>
      </c>
      <c r="E52" s="178">
        <v>40956</v>
      </c>
      <c r="F52" s="179">
        <f t="shared" si="4"/>
        <v>0.009125</v>
      </c>
      <c r="H52" s="177">
        <v>48</v>
      </c>
      <c r="I52" s="178">
        <v>41322</v>
      </c>
      <c r="J52" s="179">
        <f t="shared" si="5"/>
        <v>0.008625</v>
      </c>
      <c r="L52" s="178"/>
      <c r="M52" s="179"/>
    </row>
    <row r="53" spans="4:13" ht="12.75">
      <c r="D53" s="177">
        <v>49</v>
      </c>
      <c r="E53" s="178">
        <v>40957</v>
      </c>
      <c r="F53" s="179">
        <f t="shared" si="4"/>
        <v>0.009125</v>
      </c>
      <c r="H53" s="177">
        <v>49</v>
      </c>
      <c r="I53" s="178">
        <v>41323</v>
      </c>
      <c r="J53" s="179">
        <f t="shared" si="5"/>
        <v>0.008625</v>
      </c>
      <c r="L53" s="178"/>
      <c r="M53" s="179"/>
    </row>
    <row r="54" spans="4:13" ht="12.75">
      <c r="D54" s="177">
        <v>50</v>
      </c>
      <c r="E54" s="178">
        <v>40958</v>
      </c>
      <c r="F54" s="179">
        <f t="shared" si="4"/>
        <v>0.009125</v>
      </c>
      <c r="H54" s="177">
        <v>50</v>
      </c>
      <c r="I54" s="178">
        <v>41324</v>
      </c>
      <c r="J54" s="179">
        <f t="shared" si="5"/>
        <v>0.008625</v>
      </c>
      <c r="L54" s="178"/>
      <c r="M54" s="179"/>
    </row>
    <row r="55" spans="4:13" ht="12.75">
      <c r="D55" s="177">
        <v>51</v>
      </c>
      <c r="E55" s="178">
        <v>40959</v>
      </c>
      <c r="F55" s="179">
        <f t="shared" si="4"/>
        <v>0.009125</v>
      </c>
      <c r="H55" s="177">
        <v>51</v>
      </c>
      <c r="I55" s="178">
        <v>41325</v>
      </c>
      <c r="J55" s="179">
        <f t="shared" si="5"/>
        <v>0.008625</v>
      </c>
      <c r="L55" s="178"/>
      <c r="M55" s="179"/>
    </row>
    <row r="56" spans="4:13" ht="12.75">
      <c r="D56" s="177">
        <v>52</v>
      </c>
      <c r="E56" s="178">
        <v>40960</v>
      </c>
      <c r="F56" s="179">
        <f>F25+F$4/D$4/100</f>
        <v>0.012166666666666666</v>
      </c>
      <c r="H56" s="177">
        <v>52</v>
      </c>
      <c r="I56" s="178">
        <v>41326</v>
      </c>
      <c r="J56" s="179">
        <f>J25+J$4/H$4/100</f>
        <v>0.011500000000000002</v>
      </c>
      <c r="L56" s="178"/>
      <c r="M56" s="179"/>
    </row>
    <row r="57" spans="4:13" ht="12.75">
      <c r="D57" s="177">
        <v>53</v>
      </c>
      <c r="E57" s="178">
        <v>40961</v>
      </c>
      <c r="F57" s="179">
        <f aca="true" t="shared" si="6" ref="F57:F64">F26+F$4/D$4/100</f>
        <v>0.012166666666666666</v>
      </c>
      <c r="H57" s="177">
        <v>53</v>
      </c>
      <c r="I57" s="178">
        <v>41327</v>
      </c>
      <c r="J57" s="179">
        <f aca="true" t="shared" si="7" ref="J57:J63">J26+J$4/H$4/100</f>
        <v>0.011500000000000002</v>
      </c>
      <c r="L57" s="178"/>
      <c r="M57" s="179"/>
    </row>
    <row r="58" spans="4:13" ht="12.75">
      <c r="D58" s="177">
        <v>54</v>
      </c>
      <c r="E58" s="178">
        <v>40962</v>
      </c>
      <c r="F58" s="179">
        <f t="shared" si="6"/>
        <v>0.012166666666666666</v>
      </c>
      <c r="H58" s="177">
        <v>54</v>
      </c>
      <c r="I58" s="178">
        <v>41328</v>
      </c>
      <c r="J58" s="179">
        <f t="shared" si="7"/>
        <v>0.011500000000000002</v>
      </c>
      <c r="L58" s="178"/>
      <c r="M58" s="179"/>
    </row>
    <row r="59" spans="4:13" ht="12.75">
      <c r="D59" s="177">
        <v>55</v>
      </c>
      <c r="E59" s="178">
        <v>40963</v>
      </c>
      <c r="F59" s="179">
        <f t="shared" si="6"/>
        <v>0.012166666666666666</v>
      </c>
      <c r="H59" s="177">
        <v>55</v>
      </c>
      <c r="I59" s="178">
        <v>41329</v>
      </c>
      <c r="J59" s="179">
        <f t="shared" si="7"/>
        <v>0.011500000000000002</v>
      </c>
      <c r="L59" s="178"/>
      <c r="M59" s="179"/>
    </row>
    <row r="60" spans="4:13" ht="12.75">
      <c r="D60" s="177">
        <v>56</v>
      </c>
      <c r="E60" s="178">
        <v>40964</v>
      </c>
      <c r="F60" s="179">
        <f t="shared" si="6"/>
        <v>0.012166666666666666</v>
      </c>
      <c r="H60" s="177">
        <v>56</v>
      </c>
      <c r="I60" s="178">
        <v>41330</v>
      </c>
      <c r="J60" s="179">
        <f t="shared" si="7"/>
        <v>0.011500000000000002</v>
      </c>
      <c r="L60" s="178"/>
      <c r="M60" s="179"/>
    </row>
    <row r="61" spans="4:13" ht="12.75">
      <c r="D61" s="177">
        <v>57</v>
      </c>
      <c r="E61" s="178">
        <v>40965</v>
      </c>
      <c r="F61" s="179">
        <f t="shared" si="6"/>
        <v>0.012166666666666666</v>
      </c>
      <c r="H61" s="177">
        <v>57</v>
      </c>
      <c r="I61" s="178">
        <v>41331</v>
      </c>
      <c r="J61" s="179">
        <f t="shared" si="7"/>
        <v>0.011500000000000002</v>
      </c>
      <c r="L61" s="178"/>
      <c r="M61" s="179"/>
    </row>
    <row r="62" spans="4:13" ht="12.75">
      <c r="D62" s="177">
        <v>58</v>
      </c>
      <c r="E62" s="178">
        <v>40966</v>
      </c>
      <c r="F62" s="179">
        <f t="shared" si="6"/>
        <v>0.012166666666666666</v>
      </c>
      <c r="H62" s="177">
        <v>58</v>
      </c>
      <c r="I62" s="178">
        <v>41332</v>
      </c>
      <c r="J62" s="179">
        <f t="shared" si="7"/>
        <v>0.011500000000000002</v>
      </c>
      <c r="L62" s="178"/>
      <c r="M62" s="179"/>
    </row>
    <row r="63" spans="4:13" ht="12.75">
      <c r="D63" s="177">
        <v>59</v>
      </c>
      <c r="E63" s="178">
        <v>40967</v>
      </c>
      <c r="F63" s="179">
        <f t="shared" si="6"/>
        <v>0.012166666666666666</v>
      </c>
      <c r="H63" s="177">
        <v>59</v>
      </c>
      <c r="I63" s="178">
        <v>41333</v>
      </c>
      <c r="J63" s="179">
        <f t="shared" si="7"/>
        <v>0.011500000000000002</v>
      </c>
      <c r="L63" s="178"/>
      <c r="M63" s="179"/>
    </row>
    <row r="64" spans="4:13" ht="12.75">
      <c r="D64" s="177">
        <v>60</v>
      </c>
      <c r="E64" s="178">
        <v>40968</v>
      </c>
      <c r="F64" s="179">
        <f t="shared" si="6"/>
        <v>0.012166666666666666</v>
      </c>
      <c r="H64" s="177">
        <v>60</v>
      </c>
      <c r="I64" s="178">
        <v>41334</v>
      </c>
      <c r="J64" s="179">
        <f>J$36+J$4/H$4/100</f>
        <v>0.014375000000000002</v>
      </c>
      <c r="L64" s="178"/>
      <c r="M64" s="179"/>
    </row>
    <row r="65" spans="4:13" ht="12.75">
      <c r="D65" s="177">
        <v>61</v>
      </c>
      <c r="E65" s="178">
        <v>40969</v>
      </c>
      <c r="F65" s="179">
        <f aca="true" t="shared" si="8" ref="F65:F84">F$36+F$4/D$4/100</f>
        <v>0.015208333333333332</v>
      </c>
      <c r="H65" s="177">
        <v>61</v>
      </c>
      <c r="I65" s="178">
        <v>41335</v>
      </c>
      <c r="J65" s="179">
        <f aca="true" t="shared" si="9" ref="J65:J83">J$36+J$4/H$4/100</f>
        <v>0.014375000000000002</v>
      </c>
      <c r="L65" s="178"/>
      <c r="M65" s="179"/>
    </row>
    <row r="66" spans="4:13" ht="12.75">
      <c r="D66" s="177">
        <v>62</v>
      </c>
      <c r="E66" s="178">
        <v>40970</v>
      </c>
      <c r="F66" s="179">
        <f t="shared" si="8"/>
        <v>0.015208333333333332</v>
      </c>
      <c r="H66" s="177">
        <v>62</v>
      </c>
      <c r="I66" s="178">
        <v>41336</v>
      </c>
      <c r="J66" s="179">
        <f t="shared" si="9"/>
        <v>0.014375000000000002</v>
      </c>
      <c r="L66" s="178"/>
      <c r="M66" s="179"/>
    </row>
    <row r="67" spans="4:13" ht="12.75">
      <c r="D67" s="177">
        <v>63</v>
      </c>
      <c r="E67" s="178">
        <v>40971</v>
      </c>
      <c r="F67" s="179">
        <f t="shared" si="8"/>
        <v>0.015208333333333332</v>
      </c>
      <c r="H67" s="177">
        <v>63</v>
      </c>
      <c r="I67" s="178">
        <v>41337</v>
      </c>
      <c r="J67" s="179">
        <f t="shared" si="9"/>
        <v>0.014375000000000002</v>
      </c>
      <c r="L67" s="178"/>
      <c r="M67" s="179"/>
    </row>
    <row r="68" spans="4:13" ht="12.75">
      <c r="D68" s="177">
        <v>64</v>
      </c>
      <c r="E68" s="178">
        <v>40972</v>
      </c>
      <c r="F68" s="179">
        <f t="shared" si="8"/>
        <v>0.015208333333333332</v>
      </c>
      <c r="H68" s="177">
        <v>64</v>
      </c>
      <c r="I68" s="178">
        <v>41338</v>
      </c>
      <c r="J68" s="179">
        <f t="shared" si="9"/>
        <v>0.014375000000000002</v>
      </c>
      <c r="L68" s="178"/>
      <c r="M68" s="179"/>
    </row>
    <row r="69" spans="4:13" ht="12.75">
      <c r="D69" s="177">
        <v>65</v>
      </c>
      <c r="E69" s="178">
        <v>40973</v>
      </c>
      <c r="F69" s="179">
        <f t="shared" si="8"/>
        <v>0.015208333333333332</v>
      </c>
      <c r="H69" s="177">
        <v>65</v>
      </c>
      <c r="I69" s="178">
        <v>41339</v>
      </c>
      <c r="J69" s="179">
        <f t="shared" si="9"/>
        <v>0.014375000000000002</v>
      </c>
      <c r="L69" s="178"/>
      <c r="M69" s="179"/>
    </row>
    <row r="70" spans="4:13" ht="12.75">
      <c r="D70" s="177">
        <v>66</v>
      </c>
      <c r="E70" s="178">
        <v>40974</v>
      </c>
      <c r="F70" s="179">
        <f t="shared" si="8"/>
        <v>0.015208333333333332</v>
      </c>
      <c r="H70" s="177">
        <v>66</v>
      </c>
      <c r="I70" s="178">
        <v>41340</v>
      </c>
      <c r="J70" s="179">
        <f t="shared" si="9"/>
        <v>0.014375000000000002</v>
      </c>
      <c r="L70" s="178"/>
      <c r="M70" s="179"/>
    </row>
    <row r="71" spans="4:13" ht="12.75">
      <c r="D71" s="177">
        <v>67</v>
      </c>
      <c r="E71" s="178">
        <v>40975</v>
      </c>
      <c r="F71" s="179">
        <f t="shared" si="8"/>
        <v>0.015208333333333332</v>
      </c>
      <c r="H71" s="177">
        <v>67</v>
      </c>
      <c r="I71" s="178">
        <v>41341</v>
      </c>
      <c r="J71" s="179">
        <f t="shared" si="9"/>
        <v>0.014375000000000002</v>
      </c>
      <c r="L71" s="178"/>
      <c r="M71" s="179"/>
    </row>
    <row r="72" spans="4:13" ht="12.75">
      <c r="D72" s="177">
        <v>68</v>
      </c>
      <c r="E72" s="178">
        <v>40976</v>
      </c>
      <c r="F72" s="179">
        <f t="shared" si="8"/>
        <v>0.015208333333333332</v>
      </c>
      <c r="H72" s="177">
        <v>68</v>
      </c>
      <c r="I72" s="178">
        <v>41342</v>
      </c>
      <c r="J72" s="179">
        <f t="shared" si="9"/>
        <v>0.014375000000000002</v>
      </c>
      <c r="L72" s="178"/>
      <c r="M72" s="179"/>
    </row>
    <row r="73" spans="4:13" ht="12.75">
      <c r="D73" s="177">
        <v>69</v>
      </c>
      <c r="E73" s="178">
        <v>40977</v>
      </c>
      <c r="F73" s="179">
        <f t="shared" si="8"/>
        <v>0.015208333333333332</v>
      </c>
      <c r="H73" s="177">
        <v>69</v>
      </c>
      <c r="I73" s="178">
        <v>41343</v>
      </c>
      <c r="J73" s="179">
        <f t="shared" si="9"/>
        <v>0.014375000000000002</v>
      </c>
      <c r="L73" s="178"/>
      <c r="M73" s="179"/>
    </row>
    <row r="74" spans="4:13" ht="12.75">
      <c r="D74" s="177">
        <v>70</v>
      </c>
      <c r="E74" s="178">
        <v>40978</v>
      </c>
      <c r="F74" s="179">
        <f t="shared" si="8"/>
        <v>0.015208333333333332</v>
      </c>
      <c r="H74" s="177">
        <v>70</v>
      </c>
      <c r="I74" s="178">
        <v>41344</v>
      </c>
      <c r="J74" s="179">
        <f t="shared" si="9"/>
        <v>0.014375000000000002</v>
      </c>
      <c r="L74" s="178"/>
      <c r="M74" s="179"/>
    </row>
    <row r="75" spans="4:13" ht="12.75">
      <c r="D75" s="177">
        <v>71</v>
      </c>
      <c r="E75" s="178">
        <v>40979</v>
      </c>
      <c r="F75" s="179">
        <f t="shared" si="8"/>
        <v>0.015208333333333332</v>
      </c>
      <c r="H75" s="177">
        <v>71</v>
      </c>
      <c r="I75" s="178">
        <v>41345</v>
      </c>
      <c r="J75" s="179">
        <f t="shared" si="9"/>
        <v>0.014375000000000002</v>
      </c>
      <c r="L75" s="178"/>
      <c r="M75" s="179"/>
    </row>
    <row r="76" spans="4:13" ht="12.75">
      <c r="D76" s="177">
        <v>72</v>
      </c>
      <c r="E76" s="178">
        <v>40980</v>
      </c>
      <c r="F76" s="179">
        <f t="shared" si="8"/>
        <v>0.015208333333333332</v>
      </c>
      <c r="H76" s="177">
        <v>72</v>
      </c>
      <c r="I76" s="178">
        <v>41346</v>
      </c>
      <c r="J76" s="179">
        <f t="shared" si="9"/>
        <v>0.014375000000000002</v>
      </c>
      <c r="L76" s="178"/>
      <c r="M76" s="179"/>
    </row>
    <row r="77" spans="4:13" ht="12.75">
      <c r="D77" s="177">
        <v>73</v>
      </c>
      <c r="E77" s="178">
        <v>40981</v>
      </c>
      <c r="F77" s="179">
        <f t="shared" si="8"/>
        <v>0.015208333333333332</v>
      </c>
      <c r="H77" s="177">
        <v>73</v>
      </c>
      <c r="I77" s="178">
        <v>41347</v>
      </c>
      <c r="J77" s="179">
        <f t="shared" si="9"/>
        <v>0.014375000000000002</v>
      </c>
      <c r="L77" s="178"/>
      <c r="M77" s="179"/>
    </row>
    <row r="78" spans="4:13" ht="12.75">
      <c r="D78" s="177">
        <v>74</v>
      </c>
      <c r="E78" s="178">
        <v>40982</v>
      </c>
      <c r="F78" s="179">
        <f t="shared" si="8"/>
        <v>0.015208333333333332</v>
      </c>
      <c r="H78" s="177">
        <v>74</v>
      </c>
      <c r="I78" s="178">
        <v>41348</v>
      </c>
      <c r="J78" s="179">
        <f t="shared" si="9"/>
        <v>0.014375000000000002</v>
      </c>
      <c r="L78" s="178"/>
      <c r="M78" s="179"/>
    </row>
    <row r="79" spans="4:13" ht="12.75">
      <c r="D79" s="177">
        <v>75</v>
      </c>
      <c r="E79" s="178">
        <v>40983</v>
      </c>
      <c r="F79" s="179">
        <f t="shared" si="8"/>
        <v>0.015208333333333332</v>
      </c>
      <c r="H79" s="177">
        <v>75</v>
      </c>
      <c r="I79" s="178">
        <v>41349</v>
      </c>
      <c r="J79" s="179">
        <f t="shared" si="9"/>
        <v>0.014375000000000002</v>
      </c>
      <c r="L79" s="178"/>
      <c r="M79" s="179"/>
    </row>
    <row r="80" spans="4:13" ht="12.75">
      <c r="D80" s="177">
        <v>76</v>
      </c>
      <c r="E80" s="178">
        <v>40984</v>
      </c>
      <c r="F80" s="179">
        <f t="shared" si="8"/>
        <v>0.015208333333333332</v>
      </c>
      <c r="H80" s="177">
        <v>76</v>
      </c>
      <c r="I80" s="178">
        <v>41350</v>
      </c>
      <c r="J80" s="179">
        <f t="shared" si="9"/>
        <v>0.014375000000000002</v>
      </c>
      <c r="L80" s="178"/>
      <c r="M80" s="179"/>
    </row>
    <row r="81" spans="4:13" ht="12.75">
      <c r="D81" s="177">
        <v>77</v>
      </c>
      <c r="E81" s="178">
        <v>40985</v>
      </c>
      <c r="F81" s="179">
        <f t="shared" si="8"/>
        <v>0.015208333333333332</v>
      </c>
      <c r="H81" s="177">
        <v>77</v>
      </c>
      <c r="I81" s="178">
        <v>41351</v>
      </c>
      <c r="J81" s="179">
        <f t="shared" si="9"/>
        <v>0.014375000000000002</v>
      </c>
      <c r="L81" s="178"/>
      <c r="M81" s="179"/>
    </row>
    <row r="82" spans="4:13" ht="12.75">
      <c r="D82" s="177">
        <v>78</v>
      </c>
      <c r="E82" s="178">
        <v>40986</v>
      </c>
      <c r="F82" s="179">
        <f t="shared" si="8"/>
        <v>0.015208333333333332</v>
      </c>
      <c r="H82" s="177">
        <v>78</v>
      </c>
      <c r="I82" s="178">
        <v>41352</v>
      </c>
      <c r="J82" s="179">
        <f t="shared" si="9"/>
        <v>0.014375000000000002</v>
      </c>
      <c r="L82" s="178"/>
      <c r="M82" s="179"/>
    </row>
    <row r="83" spans="4:13" ht="12.75">
      <c r="D83" s="177">
        <v>79</v>
      </c>
      <c r="E83" s="178">
        <v>40987</v>
      </c>
      <c r="F83" s="179">
        <f t="shared" si="8"/>
        <v>0.015208333333333332</v>
      </c>
      <c r="H83" s="177">
        <v>79</v>
      </c>
      <c r="I83" s="178">
        <v>41353</v>
      </c>
      <c r="J83" s="179">
        <f t="shared" si="9"/>
        <v>0.014375000000000002</v>
      </c>
      <c r="L83" s="178"/>
      <c r="M83" s="179"/>
    </row>
    <row r="84" spans="4:13" ht="12.75">
      <c r="D84" s="177">
        <v>80</v>
      </c>
      <c r="E84" s="178">
        <v>40988</v>
      </c>
      <c r="F84" s="179">
        <f t="shared" si="8"/>
        <v>0.015208333333333332</v>
      </c>
      <c r="H84" s="177">
        <v>80</v>
      </c>
      <c r="I84" s="178">
        <v>41354</v>
      </c>
      <c r="J84" s="179">
        <f>J$56+J$4/H$4/100</f>
        <v>0.01725</v>
      </c>
      <c r="L84" s="178"/>
      <c r="M84" s="179"/>
    </row>
    <row r="85" spans="4:13" ht="12.75">
      <c r="D85" s="177">
        <v>81</v>
      </c>
      <c r="E85" s="178">
        <v>40989</v>
      </c>
      <c r="F85" s="179">
        <f aca="true" t="shared" si="10" ref="F85:F94">F$56+F$4/D$4/100</f>
        <v>0.01825</v>
      </c>
      <c r="H85" s="177">
        <v>81</v>
      </c>
      <c r="I85" s="178">
        <v>41355</v>
      </c>
      <c r="J85" s="179">
        <f aca="true" t="shared" si="11" ref="J85:J94">J$56+J$4/H$4/100</f>
        <v>0.01725</v>
      </c>
      <c r="L85" s="178"/>
      <c r="M85" s="179"/>
    </row>
    <row r="86" spans="4:13" ht="12.75">
      <c r="D86" s="177">
        <v>82</v>
      </c>
      <c r="E86" s="178">
        <v>40990</v>
      </c>
      <c r="F86" s="179">
        <f t="shared" si="10"/>
        <v>0.01825</v>
      </c>
      <c r="H86" s="177">
        <v>82</v>
      </c>
      <c r="I86" s="178">
        <v>41356</v>
      </c>
      <c r="J86" s="179">
        <f t="shared" si="11"/>
        <v>0.01725</v>
      </c>
      <c r="L86" s="178"/>
      <c r="M86" s="179"/>
    </row>
    <row r="87" spans="4:13" ht="12.75">
      <c r="D87" s="177">
        <v>83</v>
      </c>
      <c r="E87" s="178">
        <v>40991</v>
      </c>
      <c r="F87" s="179">
        <f t="shared" si="10"/>
        <v>0.01825</v>
      </c>
      <c r="H87" s="177">
        <v>83</v>
      </c>
      <c r="I87" s="178">
        <v>41357</v>
      </c>
      <c r="J87" s="179">
        <f t="shared" si="11"/>
        <v>0.01725</v>
      </c>
      <c r="L87" s="178"/>
      <c r="M87" s="179"/>
    </row>
    <row r="88" spans="4:13" ht="12.75">
      <c r="D88" s="177">
        <v>84</v>
      </c>
      <c r="E88" s="178">
        <v>40992</v>
      </c>
      <c r="F88" s="179">
        <f t="shared" si="10"/>
        <v>0.01825</v>
      </c>
      <c r="H88" s="177">
        <v>84</v>
      </c>
      <c r="I88" s="178">
        <v>41358</v>
      </c>
      <c r="J88" s="179">
        <f t="shared" si="11"/>
        <v>0.01725</v>
      </c>
      <c r="L88" s="178"/>
      <c r="M88" s="179"/>
    </row>
    <row r="89" spans="4:13" ht="12.75">
      <c r="D89" s="177">
        <v>85</v>
      </c>
      <c r="E89" s="178">
        <v>40993</v>
      </c>
      <c r="F89" s="179">
        <f t="shared" si="10"/>
        <v>0.01825</v>
      </c>
      <c r="H89" s="177">
        <v>85</v>
      </c>
      <c r="I89" s="178">
        <v>41359</v>
      </c>
      <c r="J89" s="179">
        <f t="shared" si="11"/>
        <v>0.01725</v>
      </c>
      <c r="L89" s="178"/>
      <c r="M89" s="179"/>
    </row>
    <row r="90" spans="4:13" ht="12.75">
      <c r="D90" s="177">
        <v>86</v>
      </c>
      <c r="E90" s="178">
        <v>40994</v>
      </c>
      <c r="F90" s="179">
        <f t="shared" si="10"/>
        <v>0.01825</v>
      </c>
      <c r="H90" s="177">
        <v>86</v>
      </c>
      <c r="I90" s="178">
        <v>41360</v>
      </c>
      <c r="J90" s="179">
        <f t="shared" si="11"/>
        <v>0.01725</v>
      </c>
      <c r="L90" s="178"/>
      <c r="M90" s="179"/>
    </row>
    <row r="91" spans="4:13" ht="12.75">
      <c r="D91" s="177">
        <v>87</v>
      </c>
      <c r="E91" s="178">
        <v>40995</v>
      </c>
      <c r="F91" s="179">
        <f t="shared" si="10"/>
        <v>0.01825</v>
      </c>
      <c r="H91" s="177">
        <v>87</v>
      </c>
      <c r="I91" s="178">
        <v>41361</v>
      </c>
      <c r="J91" s="179">
        <f t="shared" si="11"/>
        <v>0.01725</v>
      </c>
      <c r="L91" s="178"/>
      <c r="M91" s="179"/>
    </row>
    <row r="92" spans="4:13" ht="12.75">
      <c r="D92" s="177">
        <v>88</v>
      </c>
      <c r="E92" s="178">
        <v>40996</v>
      </c>
      <c r="F92" s="179">
        <f t="shared" si="10"/>
        <v>0.01825</v>
      </c>
      <c r="H92" s="177">
        <v>88</v>
      </c>
      <c r="I92" s="178">
        <v>41362</v>
      </c>
      <c r="J92" s="179">
        <f t="shared" si="11"/>
        <v>0.01725</v>
      </c>
      <c r="L92" s="178"/>
      <c r="M92" s="179"/>
    </row>
    <row r="93" spans="4:13" ht="12.75">
      <c r="D93" s="177">
        <v>89</v>
      </c>
      <c r="E93" s="178">
        <v>40997</v>
      </c>
      <c r="F93" s="179">
        <f t="shared" si="10"/>
        <v>0.01825</v>
      </c>
      <c r="H93" s="177">
        <v>89</v>
      </c>
      <c r="I93" s="178">
        <v>41363</v>
      </c>
      <c r="J93" s="179">
        <f t="shared" si="11"/>
        <v>0.01725</v>
      </c>
      <c r="L93" s="178"/>
      <c r="M93" s="179"/>
    </row>
    <row r="94" spans="4:13" ht="12.75">
      <c r="D94" s="177">
        <v>90</v>
      </c>
      <c r="E94" s="178">
        <v>40998</v>
      </c>
      <c r="F94" s="179">
        <f t="shared" si="10"/>
        <v>0.01825</v>
      </c>
      <c r="H94" s="177">
        <v>90</v>
      </c>
      <c r="I94" s="178">
        <v>41364</v>
      </c>
      <c r="J94" s="179">
        <f t="shared" si="11"/>
        <v>0.01725</v>
      </c>
      <c r="L94" s="178"/>
      <c r="M94" s="179"/>
    </row>
    <row r="95" spans="4:13" ht="12.75">
      <c r="D95" s="177">
        <v>91</v>
      </c>
      <c r="E95" s="178">
        <v>40999</v>
      </c>
      <c r="F95" s="179">
        <f>F$64+F$4/D$4/100</f>
        <v>0.01825</v>
      </c>
      <c r="H95" s="177">
        <v>91</v>
      </c>
      <c r="I95" s="178">
        <v>41365</v>
      </c>
      <c r="J95" s="179">
        <f>J$64+J$4/H$4/100</f>
        <v>0.020125000000000004</v>
      </c>
      <c r="L95" s="178"/>
      <c r="M95" s="179"/>
    </row>
    <row r="96" spans="4:13" ht="12.75">
      <c r="D96" s="177">
        <v>92</v>
      </c>
      <c r="E96" s="178">
        <v>41000</v>
      </c>
      <c r="F96" s="179">
        <f>F$65+F$4/D$4/100</f>
        <v>0.021291666666666667</v>
      </c>
      <c r="H96" s="177">
        <v>92</v>
      </c>
      <c r="I96" s="178">
        <v>41366</v>
      </c>
      <c r="J96" s="179">
        <f aca="true" t="shared" si="12" ref="J96:J114">J$64+J$4/H$4/100</f>
        <v>0.020125000000000004</v>
      </c>
      <c r="L96" s="178"/>
      <c r="M96" s="179"/>
    </row>
    <row r="97" spans="4:13" ht="12.75">
      <c r="D97" s="177">
        <v>93</v>
      </c>
      <c r="E97" s="178">
        <v>41001</v>
      </c>
      <c r="F97" s="179">
        <f aca="true" t="shared" si="13" ref="F97:F115">F$65+F$4/D$4/100</f>
        <v>0.021291666666666667</v>
      </c>
      <c r="H97" s="177">
        <v>93</v>
      </c>
      <c r="I97" s="178">
        <v>41367</v>
      </c>
      <c r="J97" s="179">
        <f t="shared" si="12"/>
        <v>0.020125000000000004</v>
      </c>
      <c r="L97" s="178"/>
      <c r="M97" s="179"/>
    </row>
    <row r="98" spans="4:13" ht="12.75">
      <c r="D98" s="177">
        <v>94</v>
      </c>
      <c r="E98" s="178">
        <v>41002</v>
      </c>
      <c r="F98" s="179">
        <f t="shared" si="13"/>
        <v>0.021291666666666667</v>
      </c>
      <c r="H98" s="177">
        <v>94</v>
      </c>
      <c r="I98" s="178">
        <v>41368</v>
      </c>
      <c r="J98" s="179">
        <f t="shared" si="12"/>
        <v>0.020125000000000004</v>
      </c>
      <c r="L98" s="178"/>
      <c r="M98" s="179"/>
    </row>
    <row r="99" spans="4:13" ht="12.75">
      <c r="D99" s="177">
        <v>95</v>
      </c>
      <c r="E99" s="178">
        <v>41003</v>
      </c>
      <c r="F99" s="179">
        <f t="shared" si="13"/>
        <v>0.021291666666666667</v>
      </c>
      <c r="H99" s="177">
        <v>95</v>
      </c>
      <c r="I99" s="178">
        <v>41369</v>
      </c>
      <c r="J99" s="179">
        <f t="shared" si="12"/>
        <v>0.020125000000000004</v>
      </c>
      <c r="L99" s="178"/>
      <c r="M99" s="179"/>
    </row>
    <row r="100" spans="4:13" ht="12.75">
      <c r="D100" s="177">
        <v>96</v>
      </c>
      <c r="E100" s="178">
        <v>41004</v>
      </c>
      <c r="F100" s="179">
        <f t="shared" si="13"/>
        <v>0.021291666666666667</v>
      </c>
      <c r="H100" s="177">
        <v>96</v>
      </c>
      <c r="I100" s="178">
        <v>41370</v>
      </c>
      <c r="J100" s="179">
        <f t="shared" si="12"/>
        <v>0.020125000000000004</v>
      </c>
      <c r="L100" s="178"/>
      <c r="M100" s="179"/>
    </row>
    <row r="101" spans="4:13" ht="12.75">
      <c r="D101" s="177">
        <v>97</v>
      </c>
      <c r="E101" s="178">
        <v>41005</v>
      </c>
      <c r="F101" s="179">
        <f t="shared" si="13"/>
        <v>0.021291666666666667</v>
      </c>
      <c r="H101" s="177">
        <v>97</v>
      </c>
      <c r="I101" s="178">
        <v>41371</v>
      </c>
      <c r="J101" s="179">
        <f t="shared" si="12"/>
        <v>0.020125000000000004</v>
      </c>
      <c r="L101" s="178"/>
      <c r="M101" s="179"/>
    </row>
    <row r="102" spans="4:13" ht="12.75">
      <c r="D102" s="177">
        <v>98</v>
      </c>
      <c r="E102" s="178">
        <v>41006</v>
      </c>
      <c r="F102" s="179">
        <f t="shared" si="13"/>
        <v>0.021291666666666667</v>
      </c>
      <c r="H102" s="177">
        <v>98</v>
      </c>
      <c r="I102" s="178">
        <v>41372</v>
      </c>
      <c r="J102" s="179">
        <f t="shared" si="12"/>
        <v>0.020125000000000004</v>
      </c>
      <c r="L102" s="178"/>
      <c r="M102" s="179"/>
    </row>
    <row r="103" spans="4:13" ht="12.75">
      <c r="D103" s="177">
        <v>99</v>
      </c>
      <c r="E103" s="178">
        <v>41007</v>
      </c>
      <c r="F103" s="179">
        <f t="shared" si="13"/>
        <v>0.021291666666666667</v>
      </c>
      <c r="H103" s="177">
        <v>99</v>
      </c>
      <c r="I103" s="178">
        <v>41373</v>
      </c>
      <c r="J103" s="179">
        <f t="shared" si="12"/>
        <v>0.020125000000000004</v>
      </c>
      <c r="L103" s="178"/>
      <c r="M103" s="179"/>
    </row>
    <row r="104" spans="4:13" ht="12.75">
      <c r="D104" s="177">
        <v>100</v>
      </c>
      <c r="E104" s="178">
        <v>41008</v>
      </c>
      <c r="F104" s="179">
        <f t="shared" si="13"/>
        <v>0.021291666666666667</v>
      </c>
      <c r="H104" s="177">
        <v>100</v>
      </c>
      <c r="I104" s="178">
        <v>41374</v>
      </c>
      <c r="J104" s="179">
        <f t="shared" si="12"/>
        <v>0.020125000000000004</v>
      </c>
      <c r="L104" s="178"/>
      <c r="M104" s="179"/>
    </row>
    <row r="105" spans="4:13" ht="14.25" customHeight="1">
      <c r="D105" s="177">
        <v>101</v>
      </c>
      <c r="E105" s="178">
        <v>41009</v>
      </c>
      <c r="F105" s="179">
        <f t="shared" si="13"/>
        <v>0.021291666666666667</v>
      </c>
      <c r="H105" s="177">
        <v>101</v>
      </c>
      <c r="I105" s="178">
        <v>41375</v>
      </c>
      <c r="J105" s="179">
        <f t="shared" si="12"/>
        <v>0.020125000000000004</v>
      </c>
      <c r="L105" s="178"/>
      <c r="M105" s="179"/>
    </row>
    <row r="106" spans="4:13" ht="12.75">
      <c r="D106" s="177">
        <v>102</v>
      </c>
      <c r="E106" s="178">
        <v>41010</v>
      </c>
      <c r="F106" s="179">
        <f t="shared" si="13"/>
        <v>0.021291666666666667</v>
      </c>
      <c r="H106" s="177">
        <v>102</v>
      </c>
      <c r="I106" s="178">
        <v>41376</v>
      </c>
      <c r="J106" s="179">
        <f t="shared" si="12"/>
        <v>0.020125000000000004</v>
      </c>
      <c r="L106" s="178"/>
      <c r="M106" s="179"/>
    </row>
    <row r="107" spans="4:13" ht="12.75">
      <c r="D107" s="177">
        <v>103</v>
      </c>
      <c r="E107" s="178">
        <v>41011</v>
      </c>
      <c r="F107" s="179">
        <f t="shared" si="13"/>
        <v>0.021291666666666667</v>
      </c>
      <c r="H107" s="177">
        <v>103</v>
      </c>
      <c r="I107" s="178">
        <v>41377</v>
      </c>
      <c r="J107" s="179">
        <f t="shared" si="12"/>
        <v>0.020125000000000004</v>
      </c>
      <c r="L107" s="178"/>
      <c r="M107" s="179"/>
    </row>
    <row r="108" spans="4:13" ht="12.75">
      <c r="D108" s="177">
        <v>104</v>
      </c>
      <c r="E108" s="178">
        <v>41012</v>
      </c>
      <c r="F108" s="179">
        <f t="shared" si="13"/>
        <v>0.021291666666666667</v>
      </c>
      <c r="H108" s="177">
        <v>104</v>
      </c>
      <c r="I108" s="178">
        <v>41378</v>
      </c>
      <c r="J108" s="179">
        <f t="shared" si="12"/>
        <v>0.020125000000000004</v>
      </c>
      <c r="L108" s="178"/>
      <c r="M108" s="179"/>
    </row>
    <row r="109" spans="4:13" ht="12.75">
      <c r="D109" s="177">
        <v>105</v>
      </c>
      <c r="E109" s="178">
        <v>41013</v>
      </c>
      <c r="F109" s="179">
        <f t="shared" si="13"/>
        <v>0.021291666666666667</v>
      </c>
      <c r="H109" s="177">
        <v>105</v>
      </c>
      <c r="I109" s="178">
        <v>41379</v>
      </c>
      <c r="J109" s="179">
        <f t="shared" si="12"/>
        <v>0.020125000000000004</v>
      </c>
      <c r="L109" s="178"/>
      <c r="M109" s="179"/>
    </row>
    <row r="110" spans="4:13" ht="12.75">
      <c r="D110" s="177">
        <v>106</v>
      </c>
      <c r="E110" s="178">
        <v>41014</v>
      </c>
      <c r="F110" s="179">
        <f t="shared" si="13"/>
        <v>0.021291666666666667</v>
      </c>
      <c r="H110" s="177">
        <v>106</v>
      </c>
      <c r="I110" s="178">
        <v>41380</v>
      </c>
      <c r="J110" s="179">
        <f t="shared" si="12"/>
        <v>0.020125000000000004</v>
      </c>
      <c r="L110" s="178"/>
      <c r="M110" s="179"/>
    </row>
    <row r="111" spans="4:13" ht="12.75">
      <c r="D111" s="177">
        <v>107</v>
      </c>
      <c r="E111" s="178">
        <v>41015</v>
      </c>
      <c r="F111" s="179">
        <f t="shared" si="13"/>
        <v>0.021291666666666667</v>
      </c>
      <c r="H111" s="177">
        <v>107</v>
      </c>
      <c r="I111" s="178">
        <v>41381</v>
      </c>
      <c r="J111" s="179">
        <f t="shared" si="12"/>
        <v>0.020125000000000004</v>
      </c>
      <c r="L111" s="178"/>
      <c r="M111" s="179"/>
    </row>
    <row r="112" spans="4:13" ht="12.75">
      <c r="D112" s="177">
        <v>108</v>
      </c>
      <c r="E112" s="178">
        <v>41016</v>
      </c>
      <c r="F112" s="179">
        <f t="shared" si="13"/>
        <v>0.021291666666666667</v>
      </c>
      <c r="H112" s="177">
        <v>108</v>
      </c>
      <c r="I112" s="178">
        <v>41382</v>
      </c>
      <c r="J112" s="179">
        <f t="shared" si="12"/>
        <v>0.020125000000000004</v>
      </c>
      <c r="L112" s="178"/>
      <c r="M112" s="179"/>
    </row>
    <row r="113" spans="4:13" ht="12.75">
      <c r="D113" s="177">
        <v>109</v>
      </c>
      <c r="E113" s="178">
        <v>41017</v>
      </c>
      <c r="F113" s="179">
        <f t="shared" si="13"/>
        <v>0.021291666666666667</v>
      </c>
      <c r="H113" s="177">
        <v>109</v>
      </c>
      <c r="I113" s="178">
        <v>41383</v>
      </c>
      <c r="J113" s="179">
        <f t="shared" si="12"/>
        <v>0.020125000000000004</v>
      </c>
      <c r="L113" s="178"/>
      <c r="M113" s="179"/>
    </row>
    <row r="114" spans="4:13" ht="12.75">
      <c r="D114" s="177">
        <v>110</v>
      </c>
      <c r="E114" s="178">
        <v>41018</v>
      </c>
      <c r="F114" s="179">
        <f t="shared" si="13"/>
        <v>0.021291666666666667</v>
      </c>
      <c r="H114" s="177">
        <v>110</v>
      </c>
      <c r="I114" s="178">
        <v>41384</v>
      </c>
      <c r="J114" s="179">
        <f t="shared" si="12"/>
        <v>0.020125000000000004</v>
      </c>
      <c r="L114" s="178"/>
      <c r="M114" s="179"/>
    </row>
    <row r="115" spans="4:13" ht="12.75">
      <c r="D115" s="177">
        <v>111</v>
      </c>
      <c r="E115" s="178">
        <v>41019</v>
      </c>
      <c r="F115" s="179">
        <f t="shared" si="13"/>
        <v>0.021291666666666667</v>
      </c>
      <c r="H115" s="177">
        <v>111</v>
      </c>
      <c r="I115" s="178">
        <v>41385</v>
      </c>
      <c r="J115" s="179">
        <f>J$84+J$4/H$4/100</f>
        <v>0.023000000000000003</v>
      </c>
      <c r="L115" s="178"/>
      <c r="M115" s="179"/>
    </row>
    <row r="116" spans="4:13" ht="12.75">
      <c r="D116" s="177">
        <v>112</v>
      </c>
      <c r="E116" s="178">
        <v>41020</v>
      </c>
      <c r="F116" s="179">
        <f>F$85+F$4/D$4/100</f>
        <v>0.024333333333333332</v>
      </c>
      <c r="H116" s="177">
        <v>112</v>
      </c>
      <c r="I116" s="178">
        <v>41386</v>
      </c>
      <c r="J116" s="179">
        <f aca="true" t="shared" si="14" ref="J116:J124">J$84+J$4/H$4/100</f>
        <v>0.023000000000000003</v>
      </c>
      <c r="L116" s="178"/>
      <c r="M116" s="179"/>
    </row>
    <row r="117" spans="4:13" ht="12.75">
      <c r="D117" s="177">
        <v>113</v>
      </c>
      <c r="E117" s="178">
        <v>41021</v>
      </c>
      <c r="F117" s="179">
        <f aca="true" t="shared" si="15" ref="F117:F125">F$85+F$4/D$4/100</f>
        <v>0.024333333333333332</v>
      </c>
      <c r="H117" s="177">
        <v>113</v>
      </c>
      <c r="I117" s="178">
        <v>41387</v>
      </c>
      <c r="J117" s="179">
        <f t="shared" si="14"/>
        <v>0.023000000000000003</v>
      </c>
      <c r="L117" s="178"/>
      <c r="M117" s="179"/>
    </row>
    <row r="118" spans="4:13" ht="12.75">
      <c r="D118" s="177">
        <v>114</v>
      </c>
      <c r="E118" s="178">
        <v>41022</v>
      </c>
      <c r="F118" s="179">
        <f t="shared" si="15"/>
        <v>0.024333333333333332</v>
      </c>
      <c r="H118" s="177">
        <v>114</v>
      </c>
      <c r="I118" s="178">
        <v>41388</v>
      </c>
      <c r="J118" s="179">
        <f t="shared" si="14"/>
        <v>0.023000000000000003</v>
      </c>
      <c r="L118" s="178"/>
      <c r="M118" s="179"/>
    </row>
    <row r="119" spans="4:13" ht="12.75">
      <c r="D119" s="177">
        <v>115</v>
      </c>
      <c r="E119" s="178">
        <v>41023</v>
      </c>
      <c r="F119" s="179">
        <f t="shared" si="15"/>
        <v>0.024333333333333332</v>
      </c>
      <c r="H119" s="177">
        <v>115</v>
      </c>
      <c r="I119" s="178">
        <v>41389</v>
      </c>
      <c r="J119" s="179">
        <f t="shared" si="14"/>
        <v>0.023000000000000003</v>
      </c>
      <c r="L119" s="178"/>
      <c r="M119" s="179"/>
    </row>
    <row r="120" spans="4:13" ht="12.75">
      <c r="D120" s="177">
        <v>116</v>
      </c>
      <c r="E120" s="178">
        <v>41024</v>
      </c>
      <c r="F120" s="179">
        <f t="shared" si="15"/>
        <v>0.024333333333333332</v>
      </c>
      <c r="H120" s="177">
        <v>116</v>
      </c>
      <c r="I120" s="178">
        <v>41390</v>
      </c>
      <c r="J120" s="179">
        <f t="shared" si="14"/>
        <v>0.023000000000000003</v>
      </c>
      <c r="L120" s="178"/>
      <c r="M120" s="179"/>
    </row>
    <row r="121" spans="4:13" ht="12.75">
      <c r="D121" s="177">
        <v>117</v>
      </c>
      <c r="E121" s="178">
        <v>41025</v>
      </c>
      <c r="F121" s="179">
        <f t="shared" si="15"/>
        <v>0.024333333333333332</v>
      </c>
      <c r="H121" s="177">
        <v>117</v>
      </c>
      <c r="I121" s="178">
        <v>41391</v>
      </c>
      <c r="J121" s="179">
        <f t="shared" si="14"/>
        <v>0.023000000000000003</v>
      </c>
      <c r="L121" s="178"/>
      <c r="M121" s="179"/>
    </row>
    <row r="122" spans="4:13" ht="12.75">
      <c r="D122" s="177">
        <v>118</v>
      </c>
      <c r="E122" s="178">
        <v>41026</v>
      </c>
      <c r="F122" s="179">
        <f t="shared" si="15"/>
        <v>0.024333333333333332</v>
      </c>
      <c r="H122" s="177">
        <v>118</v>
      </c>
      <c r="I122" s="178">
        <v>41392</v>
      </c>
      <c r="J122" s="179">
        <f t="shared" si="14"/>
        <v>0.023000000000000003</v>
      </c>
      <c r="L122" s="178"/>
      <c r="M122" s="179"/>
    </row>
    <row r="123" spans="4:13" ht="12.75">
      <c r="D123" s="177">
        <v>119</v>
      </c>
      <c r="E123" s="178">
        <v>41027</v>
      </c>
      <c r="F123" s="179">
        <f t="shared" si="15"/>
        <v>0.024333333333333332</v>
      </c>
      <c r="H123" s="177">
        <v>119</v>
      </c>
      <c r="I123" s="178">
        <v>41393</v>
      </c>
      <c r="J123" s="179">
        <f t="shared" si="14"/>
        <v>0.023000000000000003</v>
      </c>
      <c r="L123" s="178"/>
      <c r="M123" s="179"/>
    </row>
    <row r="124" spans="4:13" ht="12.75">
      <c r="D124" s="177">
        <v>120</v>
      </c>
      <c r="E124" s="178">
        <v>41028</v>
      </c>
      <c r="F124" s="179">
        <f t="shared" si="15"/>
        <v>0.024333333333333332</v>
      </c>
      <c r="H124" s="177">
        <v>120</v>
      </c>
      <c r="I124" s="178">
        <v>41394</v>
      </c>
      <c r="J124" s="179">
        <f t="shared" si="14"/>
        <v>0.023000000000000003</v>
      </c>
      <c r="L124" s="178"/>
      <c r="M124" s="179"/>
    </row>
    <row r="125" spans="4:13" ht="12.75">
      <c r="D125" s="177">
        <v>121</v>
      </c>
      <c r="E125" s="178">
        <v>41029</v>
      </c>
      <c r="F125" s="179">
        <f t="shared" si="15"/>
        <v>0.024333333333333332</v>
      </c>
      <c r="H125" s="177">
        <v>121</v>
      </c>
      <c r="I125" s="178">
        <v>41395</v>
      </c>
      <c r="J125" s="179">
        <f>J$96+J$4/H$4/100</f>
        <v>0.025875000000000006</v>
      </c>
      <c r="L125" s="178"/>
      <c r="M125" s="179"/>
    </row>
    <row r="126" spans="4:13" ht="12.75">
      <c r="D126" s="177">
        <v>122</v>
      </c>
      <c r="E126" s="178">
        <v>41030</v>
      </c>
      <c r="F126" s="179">
        <f aca="true" t="shared" si="16" ref="F126:F144">F$96+F$4/D$4/100</f>
        <v>0.027375</v>
      </c>
      <c r="H126" s="177">
        <v>122</v>
      </c>
      <c r="I126" s="178">
        <v>41396</v>
      </c>
      <c r="J126" s="179">
        <f aca="true" t="shared" si="17" ref="J126:J144">J$96+J$4/H$4/100</f>
        <v>0.025875000000000006</v>
      </c>
      <c r="L126" s="178"/>
      <c r="M126" s="179"/>
    </row>
    <row r="127" spans="4:13" ht="12.75">
      <c r="D127" s="177">
        <v>123</v>
      </c>
      <c r="E127" s="178">
        <v>41031</v>
      </c>
      <c r="F127" s="179">
        <f t="shared" si="16"/>
        <v>0.027375</v>
      </c>
      <c r="H127" s="177">
        <v>123</v>
      </c>
      <c r="I127" s="178">
        <v>41397</v>
      </c>
      <c r="J127" s="179">
        <f t="shared" si="17"/>
        <v>0.025875000000000006</v>
      </c>
      <c r="L127" s="178"/>
      <c r="M127" s="179"/>
    </row>
    <row r="128" spans="4:13" ht="12.75">
      <c r="D128" s="177">
        <v>124</v>
      </c>
      <c r="E128" s="178">
        <v>41032</v>
      </c>
      <c r="F128" s="179">
        <f t="shared" si="16"/>
        <v>0.027375</v>
      </c>
      <c r="H128" s="177">
        <v>124</v>
      </c>
      <c r="I128" s="178">
        <v>41398</v>
      </c>
      <c r="J128" s="179">
        <f t="shared" si="17"/>
        <v>0.025875000000000006</v>
      </c>
      <c r="L128" s="178"/>
      <c r="M128" s="179"/>
    </row>
    <row r="129" spans="4:13" ht="12.75">
      <c r="D129" s="177">
        <v>125</v>
      </c>
      <c r="E129" s="178">
        <v>41033</v>
      </c>
      <c r="F129" s="179">
        <f t="shared" si="16"/>
        <v>0.027375</v>
      </c>
      <c r="H129" s="177">
        <v>125</v>
      </c>
      <c r="I129" s="178">
        <v>41399</v>
      </c>
      <c r="J129" s="179">
        <f t="shared" si="17"/>
        <v>0.025875000000000006</v>
      </c>
      <c r="L129" s="178"/>
      <c r="M129" s="179"/>
    </row>
    <row r="130" spans="4:13" ht="12.75">
      <c r="D130" s="177">
        <v>126</v>
      </c>
      <c r="E130" s="178">
        <v>41034</v>
      </c>
      <c r="F130" s="179">
        <f t="shared" si="16"/>
        <v>0.027375</v>
      </c>
      <c r="H130" s="177">
        <v>126</v>
      </c>
      <c r="I130" s="178">
        <v>41400</v>
      </c>
      <c r="J130" s="179">
        <f t="shared" si="17"/>
        <v>0.025875000000000006</v>
      </c>
      <c r="L130" s="178"/>
      <c r="M130" s="179"/>
    </row>
    <row r="131" spans="4:13" ht="12.75">
      <c r="D131" s="177">
        <v>127</v>
      </c>
      <c r="E131" s="178">
        <v>41035</v>
      </c>
      <c r="F131" s="179">
        <f t="shared" si="16"/>
        <v>0.027375</v>
      </c>
      <c r="H131" s="177">
        <v>127</v>
      </c>
      <c r="I131" s="178">
        <v>41401</v>
      </c>
      <c r="J131" s="179">
        <f t="shared" si="17"/>
        <v>0.025875000000000006</v>
      </c>
      <c r="L131" s="178"/>
      <c r="M131" s="179"/>
    </row>
    <row r="132" spans="4:13" ht="12.75">
      <c r="D132" s="177">
        <v>128</v>
      </c>
      <c r="E132" s="178">
        <v>41036</v>
      </c>
      <c r="F132" s="179">
        <f t="shared" si="16"/>
        <v>0.027375</v>
      </c>
      <c r="H132" s="177">
        <v>128</v>
      </c>
      <c r="I132" s="178">
        <v>41402</v>
      </c>
      <c r="J132" s="179">
        <f t="shared" si="17"/>
        <v>0.025875000000000006</v>
      </c>
      <c r="L132" s="178"/>
      <c r="M132" s="179"/>
    </row>
    <row r="133" spans="4:13" ht="12.75">
      <c r="D133" s="177">
        <v>129</v>
      </c>
      <c r="E133" s="178">
        <v>41037</v>
      </c>
      <c r="F133" s="179">
        <f t="shared" si="16"/>
        <v>0.027375</v>
      </c>
      <c r="H133" s="177">
        <v>129</v>
      </c>
      <c r="I133" s="178">
        <v>41403</v>
      </c>
      <c r="J133" s="179">
        <f t="shared" si="17"/>
        <v>0.025875000000000006</v>
      </c>
      <c r="L133" s="178"/>
      <c r="M133" s="179"/>
    </row>
    <row r="134" spans="4:13" ht="12.75">
      <c r="D134" s="177">
        <v>130</v>
      </c>
      <c r="E134" s="178">
        <v>41038</v>
      </c>
      <c r="F134" s="179">
        <f t="shared" si="16"/>
        <v>0.027375</v>
      </c>
      <c r="H134" s="177">
        <v>130</v>
      </c>
      <c r="I134" s="178">
        <v>41404</v>
      </c>
      <c r="J134" s="179">
        <f t="shared" si="17"/>
        <v>0.025875000000000006</v>
      </c>
      <c r="L134" s="178"/>
      <c r="M134" s="179"/>
    </row>
    <row r="135" spans="4:13" ht="12.75">
      <c r="D135" s="177">
        <v>131</v>
      </c>
      <c r="E135" s="178">
        <v>41039</v>
      </c>
      <c r="F135" s="179">
        <f t="shared" si="16"/>
        <v>0.027375</v>
      </c>
      <c r="H135" s="177">
        <v>131</v>
      </c>
      <c r="I135" s="178">
        <v>41405</v>
      </c>
      <c r="J135" s="179">
        <f t="shared" si="17"/>
        <v>0.025875000000000006</v>
      </c>
      <c r="L135" s="178"/>
      <c r="M135" s="179"/>
    </row>
    <row r="136" spans="4:13" ht="12.75">
      <c r="D136" s="177">
        <v>132</v>
      </c>
      <c r="E136" s="178">
        <v>41040</v>
      </c>
      <c r="F136" s="179">
        <f t="shared" si="16"/>
        <v>0.027375</v>
      </c>
      <c r="H136" s="177">
        <v>132</v>
      </c>
      <c r="I136" s="178">
        <v>41406</v>
      </c>
      <c r="J136" s="179">
        <f t="shared" si="17"/>
        <v>0.025875000000000006</v>
      </c>
      <c r="L136" s="178"/>
      <c r="M136" s="179"/>
    </row>
    <row r="137" spans="4:13" ht="12.75">
      <c r="D137" s="177">
        <v>133</v>
      </c>
      <c r="E137" s="178">
        <v>41041</v>
      </c>
      <c r="F137" s="179">
        <f t="shared" si="16"/>
        <v>0.027375</v>
      </c>
      <c r="H137" s="177">
        <v>133</v>
      </c>
      <c r="I137" s="178">
        <v>41407</v>
      </c>
      <c r="J137" s="179">
        <f t="shared" si="17"/>
        <v>0.025875000000000006</v>
      </c>
      <c r="L137" s="178"/>
      <c r="M137" s="179"/>
    </row>
    <row r="138" spans="4:13" ht="12.75">
      <c r="D138" s="177">
        <v>134</v>
      </c>
      <c r="E138" s="178">
        <v>41042</v>
      </c>
      <c r="F138" s="179">
        <f t="shared" si="16"/>
        <v>0.027375</v>
      </c>
      <c r="H138" s="177">
        <v>134</v>
      </c>
      <c r="I138" s="178">
        <v>41408</v>
      </c>
      <c r="J138" s="179">
        <f t="shared" si="17"/>
        <v>0.025875000000000006</v>
      </c>
      <c r="L138" s="178"/>
      <c r="M138" s="179"/>
    </row>
    <row r="139" spans="4:13" ht="12.75">
      <c r="D139" s="177">
        <v>135</v>
      </c>
      <c r="E139" s="178">
        <v>41043</v>
      </c>
      <c r="F139" s="179">
        <f t="shared" si="16"/>
        <v>0.027375</v>
      </c>
      <c r="H139" s="177">
        <v>135</v>
      </c>
      <c r="I139" s="178">
        <v>41409</v>
      </c>
      <c r="J139" s="179">
        <f t="shared" si="17"/>
        <v>0.025875000000000006</v>
      </c>
      <c r="L139" s="178"/>
      <c r="M139" s="179"/>
    </row>
    <row r="140" spans="4:13" ht="12.75">
      <c r="D140" s="177">
        <v>136</v>
      </c>
      <c r="E140" s="178">
        <v>41044</v>
      </c>
      <c r="F140" s="179">
        <f t="shared" si="16"/>
        <v>0.027375</v>
      </c>
      <c r="H140" s="177">
        <v>136</v>
      </c>
      <c r="I140" s="178">
        <v>41410</v>
      </c>
      <c r="J140" s="179">
        <f t="shared" si="17"/>
        <v>0.025875000000000006</v>
      </c>
      <c r="L140" s="178"/>
      <c r="M140" s="179"/>
    </row>
    <row r="141" spans="4:13" ht="12.75">
      <c r="D141" s="177">
        <v>137</v>
      </c>
      <c r="E141" s="178">
        <v>41045</v>
      </c>
      <c r="F141" s="179">
        <f t="shared" si="16"/>
        <v>0.027375</v>
      </c>
      <c r="H141" s="177">
        <v>137</v>
      </c>
      <c r="I141" s="178">
        <v>41411</v>
      </c>
      <c r="J141" s="179">
        <f t="shared" si="17"/>
        <v>0.025875000000000006</v>
      </c>
      <c r="L141" s="178"/>
      <c r="M141" s="179"/>
    </row>
    <row r="142" spans="4:13" ht="12.75">
      <c r="D142" s="177">
        <v>138</v>
      </c>
      <c r="E142" s="178">
        <v>41046</v>
      </c>
      <c r="F142" s="179">
        <f t="shared" si="16"/>
        <v>0.027375</v>
      </c>
      <c r="H142" s="177">
        <v>138</v>
      </c>
      <c r="I142" s="178">
        <v>41412</v>
      </c>
      <c r="J142" s="179">
        <f t="shared" si="17"/>
        <v>0.025875000000000006</v>
      </c>
      <c r="L142" s="178"/>
      <c r="M142" s="179"/>
    </row>
    <row r="143" spans="4:13" ht="12.75">
      <c r="D143" s="177">
        <v>139</v>
      </c>
      <c r="E143" s="178">
        <v>41047</v>
      </c>
      <c r="F143" s="179">
        <f t="shared" si="16"/>
        <v>0.027375</v>
      </c>
      <c r="H143" s="177">
        <v>139</v>
      </c>
      <c r="I143" s="178">
        <v>41413</v>
      </c>
      <c r="J143" s="179">
        <f t="shared" si="17"/>
        <v>0.025875000000000006</v>
      </c>
      <c r="L143" s="178"/>
      <c r="M143" s="179"/>
    </row>
    <row r="144" spans="4:13" ht="12.75">
      <c r="D144" s="177">
        <v>140</v>
      </c>
      <c r="E144" s="178">
        <v>41048</v>
      </c>
      <c r="F144" s="179">
        <f t="shared" si="16"/>
        <v>0.027375</v>
      </c>
      <c r="H144" s="177">
        <v>140</v>
      </c>
      <c r="I144" s="178">
        <v>41414</v>
      </c>
      <c r="J144" s="179">
        <f t="shared" si="17"/>
        <v>0.025875000000000006</v>
      </c>
      <c r="L144" s="178"/>
      <c r="M144" s="179"/>
    </row>
    <row r="145" spans="4:13" ht="12.75">
      <c r="D145" s="177">
        <v>141</v>
      </c>
      <c r="E145" s="178">
        <v>41049</v>
      </c>
      <c r="F145" s="179">
        <f>F$115+F$4/D$4/100</f>
        <v>0.027375</v>
      </c>
      <c r="H145" s="177">
        <v>141</v>
      </c>
      <c r="I145" s="178">
        <v>41415</v>
      </c>
      <c r="J145" s="179">
        <f>J$115+J$4/H$4/100</f>
        <v>0.028750000000000005</v>
      </c>
      <c r="L145" s="178"/>
      <c r="M145" s="179"/>
    </row>
    <row r="146" spans="4:13" ht="12.75">
      <c r="D146" s="177">
        <v>142</v>
      </c>
      <c r="E146" s="178">
        <v>41050</v>
      </c>
      <c r="F146" s="179">
        <f>F$116+F$4/D$4/100</f>
        <v>0.030416666666666665</v>
      </c>
      <c r="H146" s="177">
        <v>142</v>
      </c>
      <c r="I146" s="178">
        <v>41416</v>
      </c>
      <c r="J146" s="179">
        <f aca="true" t="shared" si="18" ref="J146:J155">J$115+J$4/H$4/100</f>
        <v>0.028750000000000005</v>
      </c>
      <c r="L146" s="178"/>
      <c r="M146" s="179"/>
    </row>
    <row r="147" spans="4:13" ht="12.75">
      <c r="D147" s="177">
        <v>143</v>
      </c>
      <c r="E147" s="178">
        <v>41051</v>
      </c>
      <c r="F147" s="179">
        <f aca="true" t="shared" si="19" ref="F147:F156">F$116+F$4/D$4/100</f>
        <v>0.030416666666666665</v>
      </c>
      <c r="H147" s="177">
        <v>143</v>
      </c>
      <c r="I147" s="178">
        <v>41417</v>
      </c>
      <c r="J147" s="179">
        <f t="shared" si="18"/>
        <v>0.028750000000000005</v>
      </c>
      <c r="L147" s="178"/>
      <c r="M147" s="179"/>
    </row>
    <row r="148" spans="4:13" ht="12.75">
      <c r="D148" s="177">
        <v>144</v>
      </c>
      <c r="E148" s="178">
        <v>41052</v>
      </c>
      <c r="F148" s="179">
        <f t="shared" si="19"/>
        <v>0.030416666666666665</v>
      </c>
      <c r="H148" s="177">
        <v>144</v>
      </c>
      <c r="I148" s="178">
        <v>41418</v>
      </c>
      <c r="J148" s="179">
        <f t="shared" si="18"/>
        <v>0.028750000000000005</v>
      </c>
      <c r="L148" s="178"/>
      <c r="M148" s="179"/>
    </row>
    <row r="149" spans="4:13" ht="12.75">
      <c r="D149" s="177">
        <v>145</v>
      </c>
      <c r="E149" s="178">
        <v>41053</v>
      </c>
      <c r="F149" s="179">
        <f t="shared" si="19"/>
        <v>0.030416666666666665</v>
      </c>
      <c r="H149" s="177">
        <v>145</v>
      </c>
      <c r="I149" s="178">
        <v>41419</v>
      </c>
      <c r="J149" s="179">
        <f t="shared" si="18"/>
        <v>0.028750000000000005</v>
      </c>
      <c r="L149" s="178"/>
      <c r="M149" s="179"/>
    </row>
    <row r="150" spans="4:13" ht="12.75">
      <c r="D150" s="177">
        <v>146</v>
      </c>
      <c r="E150" s="178">
        <v>41054</v>
      </c>
      <c r="F150" s="179">
        <f t="shared" si="19"/>
        <v>0.030416666666666665</v>
      </c>
      <c r="H150" s="177">
        <v>146</v>
      </c>
      <c r="I150" s="178">
        <v>41420</v>
      </c>
      <c r="J150" s="179">
        <f t="shared" si="18"/>
        <v>0.028750000000000005</v>
      </c>
      <c r="L150" s="178"/>
      <c r="M150" s="179"/>
    </row>
    <row r="151" spans="4:13" ht="12.75">
      <c r="D151" s="177">
        <v>147</v>
      </c>
      <c r="E151" s="178">
        <v>41055</v>
      </c>
      <c r="F151" s="179">
        <f t="shared" si="19"/>
        <v>0.030416666666666665</v>
      </c>
      <c r="H151" s="177">
        <v>147</v>
      </c>
      <c r="I151" s="178">
        <v>41421</v>
      </c>
      <c r="J151" s="179">
        <f t="shared" si="18"/>
        <v>0.028750000000000005</v>
      </c>
      <c r="L151" s="178"/>
      <c r="M151" s="179"/>
    </row>
    <row r="152" spans="4:13" ht="12.75">
      <c r="D152" s="177">
        <v>148</v>
      </c>
      <c r="E152" s="178">
        <v>41056</v>
      </c>
      <c r="F152" s="179">
        <f t="shared" si="19"/>
        <v>0.030416666666666665</v>
      </c>
      <c r="H152" s="177">
        <v>148</v>
      </c>
      <c r="I152" s="178">
        <v>41422</v>
      </c>
      <c r="J152" s="179">
        <f t="shared" si="18"/>
        <v>0.028750000000000005</v>
      </c>
      <c r="L152" s="178"/>
      <c r="M152" s="179"/>
    </row>
    <row r="153" spans="4:13" ht="12.75">
      <c r="D153" s="177">
        <v>149</v>
      </c>
      <c r="E153" s="178">
        <v>41057</v>
      </c>
      <c r="F153" s="179">
        <f t="shared" si="19"/>
        <v>0.030416666666666665</v>
      </c>
      <c r="H153" s="177">
        <v>149</v>
      </c>
      <c r="I153" s="178">
        <v>41423</v>
      </c>
      <c r="J153" s="179">
        <f t="shared" si="18"/>
        <v>0.028750000000000005</v>
      </c>
      <c r="L153" s="178"/>
      <c r="M153" s="179"/>
    </row>
    <row r="154" spans="4:13" ht="12.75">
      <c r="D154" s="177">
        <v>150</v>
      </c>
      <c r="E154" s="178">
        <v>41058</v>
      </c>
      <c r="F154" s="179">
        <f t="shared" si="19"/>
        <v>0.030416666666666665</v>
      </c>
      <c r="H154" s="177">
        <v>150</v>
      </c>
      <c r="I154" s="178">
        <v>41424</v>
      </c>
      <c r="J154" s="179">
        <f t="shared" si="18"/>
        <v>0.028750000000000005</v>
      </c>
      <c r="L154" s="178"/>
      <c r="M154" s="179"/>
    </row>
    <row r="155" spans="4:13" ht="12.75">
      <c r="D155" s="177">
        <v>151</v>
      </c>
      <c r="E155" s="178">
        <v>41059</v>
      </c>
      <c r="F155" s="179">
        <f t="shared" si="19"/>
        <v>0.030416666666666665</v>
      </c>
      <c r="H155" s="177">
        <v>151</v>
      </c>
      <c r="I155" s="178">
        <v>41425</v>
      </c>
      <c r="J155" s="179">
        <f t="shared" si="18"/>
        <v>0.028750000000000005</v>
      </c>
      <c r="L155" s="178"/>
      <c r="M155" s="179"/>
    </row>
    <row r="156" spans="4:13" ht="12.75">
      <c r="D156" s="177">
        <v>152</v>
      </c>
      <c r="E156" s="178">
        <v>41060</v>
      </c>
      <c r="F156" s="179">
        <f t="shared" si="19"/>
        <v>0.030416666666666665</v>
      </c>
      <c r="H156" s="177">
        <v>152</v>
      </c>
      <c r="I156" s="178">
        <v>41426</v>
      </c>
      <c r="J156" s="179">
        <f>J$125+J$4/H$4/100</f>
        <v>0.03162500000000001</v>
      </c>
      <c r="L156" s="178"/>
      <c r="M156" s="179"/>
    </row>
    <row r="157" spans="4:13" ht="12.75">
      <c r="D157" s="177">
        <v>153</v>
      </c>
      <c r="E157" s="178">
        <v>41061</v>
      </c>
      <c r="F157" s="179">
        <f>F$126+F$4/D$4/100</f>
        <v>0.03345833333333333</v>
      </c>
      <c r="H157" s="177">
        <v>153</v>
      </c>
      <c r="I157" s="178">
        <v>41427</v>
      </c>
      <c r="J157" s="179">
        <f aca="true" t="shared" si="20" ref="J157:J175">J$125+J$4/H$4/100</f>
        <v>0.03162500000000001</v>
      </c>
      <c r="L157" s="178"/>
      <c r="M157" s="179"/>
    </row>
    <row r="158" spans="4:13" ht="12.75">
      <c r="D158" s="177">
        <v>154</v>
      </c>
      <c r="E158" s="178">
        <v>41062</v>
      </c>
      <c r="F158" s="179">
        <f aca="true" t="shared" si="21" ref="F158:F176">F$126+F$4/D$4/100</f>
        <v>0.03345833333333333</v>
      </c>
      <c r="H158" s="177">
        <v>154</v>
      </c>
      <c r="I158" s="178">
        <v>41428</v>
      </c>
      <c r="J158" s="179">
        <f t="shared" si="20"/>
        <v>0.03162500000000001</v>
      </c>
      <c r="L158" s="178"/>
      <c r="M158" s="179"/>
    </row>
    <row r="159" spans="4:13" ht="12.75">
      <c r="D159" s="177">
        <v>155</v>
      </c>
      <c r="E159" s="178">
        <v>41063</v>
      </c>
      <c r="F159" s="179">
        <f t="shared" si="21"/>
        <v>0.03345833333333333</v>
      </c>
      <c r="H159" s="177">
        <v>155</v>
      </c>
      <c r="I159" s="178">
        <v>41429</v>
      </c>
      <c r="J159" s="179">
        <f t="shared" si="20"/>
        <v>0.03162500000000001</v>
      </c>
      <c r="L159" s="178"/>
      <c r="M159" s="179"/>
    </row>
    <row r="160" spans="4:13" ht="12.75">
      <c r="D160" s="177">
        <v>156</v>
      </c>
      <c r="E160" s="178">
        <v>41064</v>
      </c>
      <c r="F160" s="179">
        <f t="shared" si="21"/>
        <v>0.03345833333333333</v>
      </c>
      <c r="H160" s="177">
        <v>156</v>
      </c>
      <c r="I160" s="178">
        <v>41430</v>
      </c>
      <c r="J160" s="179">
        <f t="shared" si="20"/>
        <v>0.03162500000000001</v>
      </c>
      <c r="L160" s="178"/>
      <c r="M160" s="179"/>
    </row>
    <row r="161" spans="4:13" ht="12.75">
      <c r="D161" s="177">
        <v>157</v>
      </c>
      <c r="E161" s="178">
        <v>41065</v>
      </c>
      <c r="F161" s="179">
        <f t="shared" si="21"/>
        <v>0.03345833333333333</v>
      </c>
      <c r="H161" s="177">
        <v>157</v>
      </c>
      <c r="I161" s="178">
        <v>41431</v>
      </c>
      <c r="J161" s="179">
        <f t="shared" si="20"/>
        <v>0.03162500000000001</v>
      </c>
      <c r="L161" s="178"/>
      <c r="M161" s="179"/>
    </row>
    <row r="162" spans="4:13" ht="12.75">
      <c r="D162" s="177">
        <v>158</v>
      </c>
      <c r="E162" s="178">
        <v>41066</v>
      </c>
      <c r="F162" s="179">
        <f t="shared" si="21"/>
        <v>0.03345833333333333</v>
      </c>
      <c r="H162" s="177">
        <v>158</v>
      </c>
      <c r="I162" s="178">
        <v>41432</v>
      </c>
      <c r="J162" s="179">
        <f t="shared" si="20"/>
        <v>0.03162500000000001</v>
      </c>
      <c r="L162" s="178"/>
      <c r="M162" s="179"/>
    </row>
    <row r="163" spans="4:13" ht="12.75">
      <c r="D163" s="177">
        <v>159</v>
      </c>
      <c r="E163" s="178">
        <v>41067</v>
      </c>
      <c r="F163" s="179">
        <f t="shared" si="21"/>
        <v>0.03345833333333333</v>
      </c>
      <c r="H163" s="177">
        <v>159</v>
      </c>
      <c r="I163" s="178">
        <v>41433</v>
      </c>
      <c r="J163" s="179">
        <f t="shared" si="20"/>
        <v>0.03162500000000001</v>
      </c>
      <c r="L163" s="178"/>
      <c r="M163" s="179"/>
    </row>
    <row r="164" spans="4:13" ht="12.75">
      <c r="D164" s="177">
        <v>160</v>
      </c>
      <c r="E164" s="178">
        <v>41068</v>
      </c>
      <c r="F164" s="179">
        <f t="shared" si="21"/>
        <v>0.03345833333333333</v>
      </c>
      <c r="H164" s="177">
        <v>160</v>
      </c>
      <c r="I164" s="178">
        <v>41434</v>
      </c>
      <c r="J164" s="179">
        <f t="shared" si="20"/>
        <v>0.03162500000000001</v>
      </c>
      <c r="L164" s="178"/>
      <c r="M164" s="179"/>
    </row>
    <row r="165" spans="4:13" ht="12.75">
      <c r="D165" s="177">
        <v>161</v>
      </c>
      <c r="E165" s="178">
        <v>41069</v>
      </c>
      <c r="F165" s="179">
        <f t="shared" si="21"/>
        <v>0.03345833333333333</v>
      </c>
      <c r="H165" s="177">
        <v>161</v>
      </c>
      <c r="I165" s="178">
        <v>41435</v>
      </c>
      <c r="J165" s="179">
        <f t="shared" si="20"/>
        <v>0.03162500000000001</v>
      </c>
      <c r="L165" s="178"/>
      <c r="M165" s="179"/>
    </row>
    <row r="166" spans="4:13" ht="12.75">
      <c r="D166" s="177">
        <v>162</v>
      </c>
      <c r="E166" s="178">
        <v>41070</v>
      </c>
      <c r="F166" s="179">
        <f t="shared" si="21"/>
        <v>0.03345833333333333</v>
      </c>
      <c r="H166" s="177">
        <v>162</v>
      </c>
      <c r="I166" s="178">
        <v>41436</v>
      </c>
      <c r="J166" s="179">
        <f t="shared" si="20"/>
        <v>0.03162500000000001</v>
      </c>
      <c r="L166" s="178"/>
      <c r="M166" s="179"/>
    </row>
    <row r="167" spans="4:13" ht="12.75">
      <c r="D167" s="177">
        <v>163</v>
      </c>
      <c r="E167" s="178">
        <v>41071</v>
      </c>
      <c r="F167" s="179">
        <f t="shared" si="21"/>
        <v>0.03345833333333333</v>
      </c>
      <c r="H167" s="177">
        <v>163</v>
      </c>
      <c r="I167" s="178">
        <v>41437</v>
      </c>
      <c r="J167" s="179">
        <f t="shared" si="20"/>
        <v>0.03162500000000001</v>
      </c>
      <c r="L167" s="178"/>
      <c r="M167" s="179"/>
    </row>
    <row r="168" spans="4:13" ht="12.75">
      <c r="D168" s="177">
        <v>164</v>
      </c>
      <c r="E168" s="178">
        <v>41072</v>
      </c>
      <c r="F168" s="179">
        <f t="shared" si="21"/>
        <v>0.03345833333333333</v>
      </c>
      <c r="H168" s="177">
        <v>164</v>
      </c>
      <c r="I168" s="178">
        <v>41438</v>
      </c>
      <c r="J168" s="179">
        <f t="shared" si="20"/>
        <v>0.03162500000000001</v>
      </c>
      <c r="L168" s="178"/>
      <c r="M168" s="179"/>
    </row>
    <row r="169" spans="4:13" ht="12.75">
      <c r="D169" s="177">
        <v>165</v>
      </c>
      <c r="E169" s="178">
        <v>41073</v>
      </c>
      <c r="F169" s="179">
        <f t="shared" si="21"/>
        <v>0.03345833333333333</v>
      </c>
      <c r="H169" s="177">
        <v>165</v>
      </c>
      <c r="I169" s="178">
        <v>41439</v>
      </c>
      <c r="J169" s="179">
        <f t="shared" si="20"/>
        <v>0.03162500000000001</v>
      </c>
      <c r="L169" s="178"/>
      <c r="M169" s="179"/>
    </row>
    <row r="170" spans="4:13" ht="12.75">
      <c r="D170" s="177">
        <v>166</v>
      </c>
      <c r="E170" s="178">
        <v>41074</v>
      </c>
      <c r="F170" s="179">
        <f t="shared" si="21"/>
        <v>0.03345833333333333</v>
      </c>
      <c r="H170" s="177">
        <v>166</v>
      </c>
      <c r="I170" s="178">
        <v>41440</v>
      </c>
      <c r="J170" s="179">
        <f t="shared" si="20"/>
        <v>0.03162500000000001</v>
      </c>
      <c r="L170" s="178"/>
      <c r="M170" s="179"/>
    </row>
    <row r="171" spans="4:13" ht="12.75">
      <c r="D171" s="177">
        <v>167</v>
      </c>
      <c r="E171" s="178">
        <v>41075</v>
      </c>
      <c r="F171" s="179">
        <f t="shared" si="21"/>
        <v>0.03345833333333333</v>
      </c>
      <c r="H171" s="177">
        <v>167</v>
      </c>
      <c r="I171" s="178">
        <v>41441</v>
      </c>
      <c r="J171" s="179">
        <f t="shared" si="20"/>
        <v>0.03162500000000001</v>
      </c>
      <c r="L171" s="178"/>
      <c r="M171" s="179"/>
    </row>
    <row r="172" spans="4:13" ht="12.75">
      <c r="D172" s="177">
        <v>168</v>
      </c>
      <c r="E172" s="178">
        <v>41076</v>
      </c>
      <c r="F172" s="179">
        <f t="shared" si="21"/>
        <v>0.03345833333333333</v>
      </c>
      <c r="H172" s="177">
        <v>168</v>
      </c>
      <c r="I172" s="178">
        <v>41442</v>
      </c>
      <c r="J172" s="179">
        <f t="shared" si="20"/>
        <v>0.03162500000000001</v>
      </c>
      <c r="L172" s="178"/>
      <c r="M172" s="179"/>
    </row>
    <row r="173" spans="4:13" ht="12.75">
      <c r="D173" s="177">
        <v>169</v>
      </c>
      <c r="E173" s="178">
        <v>41077</v>
      </c>
      <c r="F173" s="179">
        <f t="shared" si="21"/>
        <v>0.03345833333333333</v>
      </c>
      <c r="H173" s="177">
        <v>169</v>
      </c>
      <c r="I173" s="178">
        <v>41443</v>
      </c>
      <c r="J173" s="179">
        <f t="shared" si="20"/>
        <v>0.03162500000000001</v>
      </c>
      <c r="L173" s="178"/>
      <c r="M173" s="179"/>
    </row>
    <row r="174" spans="4:13" ht="12.75">
      <c r="D174" s="177">
        <v>170</v>
      </c>
      <c r="E174" s="178">
        <v>41078</v>
      </c>
      <c r="F174" s="179">
        <f t="shared" si="21"/>
        <v>0.03345833333333333</v>
      </c>
      <c r="H174" s="177">
        <v>170</v>
      </c>
      <c r="I174" s="178">
        <v>41444</v>
      </c>
      <c r="J174" s="179">
        <f t="shared" si="20"/>
        <v>0.03162500000000001</v>
      </c>
      <c r="L174" s="178"/>
      <c r="M174" s="179"/>
    </row>
    <row r="175" spans="4:13" ht="12.75">
      <c r="D175" s="177">
        <v>171</v>
      </c>
      <c r="E175" s="178">
        <v>41079</v>
      </c>
      <c r="F175" s="179">
        <f t="shared" si="21"/>
        <v>0.03345833333333333</v>
      </c>
      <c r="H175" s="177">
        <v>171</v>
      </c>
      <c r="I175" s="178">
        <v>41445</v>
      </c>
      <c r="J175" s="179">
        <f t="shared" si="20"/>
        <v>0.03162500000000001</v>
      </c>
      <c r="L175" s="178"/>
      <c r="M175" s="179"/>
    </row>
    <row r="176" spans="4:13" ht="12.75">
      <c r="D176" s="177">
        <v>172</v>
      </c>
      <c r="E176" s="178">
        <v>41080</v>
      </c>
      <c r="F176" s="179">
        <f t="shared" si="21"/>
        <v>0.03345833333333333</v>
      </c>
      <c r="H176" s="177">
        <v>172</v>
      </c>
      <c r="I176" s="178">
        <v>41446</v>
      </c>
      <c r="J176" s="179">
        <f>J$145+J$4/H$4/100</f>
        <v>0.0345</v>
      </c>
      <c r="L176" s="178"/>
      <c r="M176" s="179"/>
    </row>
    <row r="177" spans="4:13" ht="12.75">
      <c r="D177" s="177">
        <v>173</v>
      </c>
      <c r="E177" s="178">
        <v>41081</v>
      </c>
      <c r="F177" s="179">
        <f>F$146+F$4/D$4/100</f>
        <v>0.0365</v>
      </c>
      <c r="H177" s="177">
        <v>173</v>
      </c>
      <c r="I177" s="178">
        <v>41447</v>
      </c>
      <c r="J177" s="179">
        <f aca="true" t="shared" si="22" ref="J177:J185">J$145+J$4/H$4/100</f>
        <v>0.0345</v>
      </c>
      <c r="L177" s="178"/>
      <c r="M177" s="179"/>
    </row>
    <row r="178" spans="4:13" ht="12.75">
      <c r="D178" s="177">
        <v>174</v>
      </c>
      <c r="E178" s="178">
        <v>41082</v>
      </c>
      <c r="F178" s="179">
        <f aca="true" t="shared" si="23" ref="F178:F186">F$146+F$4/D$4/100</f>
        <v>0.0365</v>
      </c>
      <c r="H178" s="177">
        <v>174</v>
      </c>
      <c r="I178" s="178">
        <v>41448</v>
      </c>
      <c r="J178" s="179">
        <f t="shared" si="22"/>
        <v>0.0345</v>
      </c>
      <c r="L178" s="178"/>
      <c r="M178" s="179"/>
    </row>
    <row r="179" spans="4:13" ht="12.75">
      <c r="D179" s="177">
        <v>175</v>
      </c>
      <c r="E179" s="178">
        <v>41083</v>
      </c>
      <c r="F179" s="179">
        <f t="shared" si="23"/>
        <v>0.0365</v>
      </c>
      <c r="H179" s="177">
        <v>175</v>
      </c>
      <c r="I179" s="178">
        <v>41449</v>
      </c>
      <c r="J179" s="179">
        <f t="shared" si="22"/>
        <v>0.0345</v>
      </c>
      <c r="L179" s="178"/>
      <c r="M179" s="179"/>
    </row>
    <row r="180" spans="4:13" ht="12.75">
      <c r="D180" s="177">
        <v>176</v>
      </c>
      <c r="E180" s="178">
        <v>41084</v>
      </c>
      <c r="F180" s="179">
        <f t="shared" si="23"/>
        <v>0.0365</v>
      </c>
      <c r="H180" s="177">
        <v>176</v>
      </c>
      <c r="I180" s="178">
        <v>41450</v>
      </c>
      <c r="J180" s="179">
        <f t="shared" si="22"/>
        <v>0.0345</v>
      </c>
      <c r="L180" s="178"/>
      <c r="M180" s="179"/>
    </row>
    <row r="181" spans="4:13" ht="12.75">
      <c r="D181" s="177">
        <v>177</v>
      </c>
      <c r="E181" s="178">
        <v>41085</v>
      </c>
      <c r="F181" s="179">
        <f t="shared" si="23"/>
        <v>0.0365</v>
      </c>
      <c r="H181" s="177">
        <v>177</v>
      </c>
      <c r="I181" s="178">
        <v>41451</v>
      </c>
      <c r="J181" s="179">
        <f t="shared" si="22"/>
        <v>0.0345</v>
      </c>
      <c r="L181" s="178"/>
      <c r="M181" s="179"/>
    </row>
    <row r="182" spans="4:13" ht="12.75">
      <c r="D182" s="177">
        <v>178</v>
      </c>
      <c r="E182" s="178">
        <v>41086</v>
      </c>
      <c r="F182" s="179">
        <f t="shared" si="23"/>
        <v>0.0365</v>
      </c>
      <c r="H182" s="177">
        <v>178</v>
      </c>
      <c r="I182" s="178">
        <v>41452</v>
      </c>
      <c r="J182" s="179">
        <f t="shared" si="22"/>
        <v>0.0345</v>
      </c>
      <c r="L182" s="178"/>
      <c r="M182" s="179"/>
    </row>
    <row r="183" spans="4:13" ht="12.75">
      <c r="D183" s="177">
        <v>179</v>
      </c>
      <c r="E183" s="178">
        <v>41087</v>
      </c>
      <c r="F183" s="179">
        <f t="shared" si="23"/>
        <v>0.0365</v>
      </c>
      <c r="H183" s="177">
        <v>179</v>
      </c>
      <c r="I183" s="178">
        <v>41453</v>
      </c>
      <c r="J183" s="179">
        <f t="shared" si="22"/>
        <v>0.0345</v>
      </c>
      <c r="L183" s="178"/>
      <c r="M183" s="179"/>
    </row>
    <row r="184" spans="4:13" ht="12.75">
      <c r="D184" s="177">
        <v>180</v>
      </c>
      <c r="E184" s="178">
        <v>41088</v>
      </c>
      <c r="F184" s="179">
        <f t="shared" si="23"/>
        <v>0.0365</v>
      </c>
      <c r="H184" s="177">
        <v>180</v>
      </c>
      <c r="I184" s="178">
        <v>41454</v>
      </c>
      <c r="J184" s="179">
        <f t="shared" si="22"/>
        <v>0.0345</v>
      </c>
      <c r="L184" s="178"/>
      <c r="M184" s="179"/>
    </row>
    <row r="185" spans="4:13" ht="12.75">
      <c r="D185" s="177">
        <v>181</v>
      </c>
      <c r="E185" s="178">
        <v>41089</v>
      </c>
      <c r="F185" s="179">
        <f t="shared" si="23"/>
        <v>0.0365</v>
      </c>
      <c r="H185" s="177">
        <v>181</v>
      </c>
      <c r="I185" s="178">
        <v>41455</v>
      </c>
      <c r="J185" s="179">
        <f t="shared" si="22"/>
        <v>0.0345</v>
      </c>
      <c r="L185" s="178"/>
      <c r="M185" s="179"/>
    </row>
    <row r="186" spans="4:13" ht="12.75">
      <c r="D186" s="177">
        <v>182</v>
      </c>
      <c r="E186" s="178">
        <v>41090</v>
      </c>
      <c r="F186" s="179">
        <f t="shared" si="23"/>
        <v>0.0365</v>
      </c>
      <c r="H186" s="177">
        <v>182</v>
      </c>
      <c r="I186" s="178">
        <v>41456</v>
      </c>
      <c r="J186" s="179">
        <f>J$157+J$4/H$4/100</f>
        <v>0.037375000000000005</v>
      </c>
      <c r="L186" s="178"/>
      <c r="M186" s="179"/>
    </row>
    <row r="187" spans="4:13" ht="12.75">
      <c r="D187" s="177">
        <v>183</v>
      </c>
      <c r="E187" s="178">
        <v>41091</v>
      </c>
      <c r="F187" s="179">
        <f aca="true" t="shared" si="24" ref="F187:F206">F$157+F$4/D$4/100</f>
        <v>0.03954166666666667</v>
      </c>
      <c r="H187" s="177">
        <v>183</v>
      </c>
      <c r="I187" s="178">
        <v>41457</v>
      </c>
      <c r="J187" s="179">
        <f aca="true" t="shared" si="25" ref="J187:J205">J$157+J$4/H$4/100</f>
        <v>0.037375000000000005</v>
      </c>
      <c r="L187" s="178"/>
      <c r="M187" s="179"/>
    </row>
    <row r="188" spans="4:13" ht="12.75">
      <c r="D188" s="177">
        <v>184</v>
      </c>
      <c r="E188" s="178">
        <v>41092</v>
      </c>
      <c r="F188" s="179">
        <f t="shared" si="24"/>
        <v>0.03954166666666667</v>
      </c>
      <c r="H188" s="177">
        <v>184</v>
      </c>
      <c r="I188" s="178">
        <v>41458</v>
      </c>
      <c r="J188" s="179">
        <f t="shared" si="25"/>
        <v>0.037375000000000005</v>
      </c>
      <c r="L188" s="178"/>
      <c r="M188" s="179"/>
    </row>
    <row r="189" spans="4:13" ht="12.75">
      <c r="D189" s="177">
        <v>185</v>
      </c>
      <c r="E189" s="178">
        <v>41093</v>
      </c>
      <c r="F189" s="179">
        <f t="shared" si="24"/>
        <v>0.03954166666666667</v>
      </c>
      <c r="H189" s="177">
        <v>185</v>
      </c>
      <c r="I189" s="178">
        <v>41459</v>
      </c>
      <c r="J189" s="179">
        <f t="shared" si="25"/>
        <v>0.037375000000000005</v>
      </c>
      <c r="L189" s="178"/>
      <c r="M189" s="179"/>
    </row>
    <row r="190" spans="4:13" ht="12.75">
      <c r="D190" s="177">
        <v>186</v>
      </c>
      <c r="E190" s="178">
        <v>41094</v>
      </c>
      <c r="F190" s="179">
        <f t="shared" si="24"/>
        <v>0.03954166666666667</v>
      </c>
      <c r="H190" s="177">
        <v>186</v>
      </c>
      <c r="I190" s="178">
        <v>41460</v>
      </c>
      <c r="J190" s="179">
        <f t="shared" si="25"/>
        <v>0.037375000000000005</v>
      </c>
      <c r="L190" s="178"/>
      <c r="M190" s="179"/>
    </row>
    <row r="191" spans="4:13" ht="12.75">
      <c r="D191" s="177">
        <v>187</v>
      </c>
      <c r="E191" s="178">
        <v>41095</v>
      </c>
      <c r="F191" s="179">
        <f t="shared" si="24"/>
        <v>0.03954166666666667</v>
      </c>
      <c r="H191" s="177">
        <v>187</v>
      </c>
      <c r="I191" s="178">
        <v>41461</v>
      </c>
      <c r="J191" s="179">
        <f t="shared" si="25"/>
        <v>0.037375000000000005</v>
      </c>
      <c r="L191" s="178"/>
      <c r="M191" s="179"/>
    </row>
    <row r="192" spans="4:13" ht="12.75">
      <c r="D192" s="177">
        <v>188</v>
      </c>
      <c r="E192" s="178">
        <v>41096</v>
      </c>
      <c r="F192" s="179">
        <f t="shared" si="24"/>
        <v>0.03954166666666667</v>
      </c>
      <c r="H192" s="177">
        <v>188</v>
      </c>
      <c r="I192" s="178">
        <v>41462</v>
      </c>
      <c r="J192" s="179">
        <f t="shared" si="25"/>
        <v>0.037375000000000005</v>
      </c>
      <c r="L192" s="178"/>
      <c r="M192" s="179"/>
    </row>
    <row r="193" spans="4:13" ht="12.75">
      <c r="D193" s="177">
        <v>189</v>
      </c>
      <c r="E193" s="178">
        <v>41097</v>
      </c>
      <c r="F193" s="179">
        <f t="shared" si="24"/>
        <v>0.03954166666666667</v>
      </c>
      <c r="H193" s="177">
        <v>189</v>
      </c>
      <c r="I193" s="178">
        <v>41463</v>
      </c>
      <c r="J193" s="179">
        <f t="shared" si="25"/>
        <v>0.037375000000000005</v>
      </c>
      <c r="L193" s="178"/>
      <c r="M193" s="179"/>
    </row>
    <row r="194" spans="4:13" ht="12.75">
      <c r="D194" s="177">
        <v>190</v>
      </c>
      <c r="E194" s="178">
        <v>41098</v>
      </c>
      <c r="F194" s="179">
        <f t="shared" si="24"/>
        <v>0.03954166666666667</v>
      </c>
      <c r="H194" s="177">
        <v>190</v>
      </c>
      <c r="I194" s="178">
        <v>41464</v>
      </c>
      <c r="J194" s="179">
        <f t="shared" si="25"/>
        <v>0.037375000000000005</v>
      </c>
      <c r="L194" s="178"/>
      <c r="M194" s="179"/>
    </row>
    <row r="195" spans="4:13" ht="12.75">
      <c r="D195" s="177">
        <v>191</v>
      </c>
      <c r="E195" s="178">
        <v>41099</v>
      </c>
      <c r="F195" s="179">
        <f t="shared" si="24"/>
        <v>0.03954166666666667</v>
      </c>
      <c r="H195" s="177">
        <v>191</v>
      </c>
      <c r="I195" s="178">
        <v>41465</v>
      </c>
      <c r="J195" s="179">
        <f t="shared" si="25"/>
        <v>0.037375000000000005</v>
      </c>
      <c r="L195" s="178"/>
      <c r="M195" s="179"/>
    </row>
    <row r="196" spans="4:13" ht="12.75">
      <c r="D196" s="177">
        <v>192</v>
      </c>
      <c r="E196" s="178">
        <v>41100</v>
      </c>
      <c r="F196" s="179">
        <f t="shared" si="24"/>
        <v>0.03954166666666667</v>
      </c>
      <c r="H196" s="177">
        <v>192</v>
      </c>
      <c r="I196" s="178">
        <v>41466</v>
      </c>
      <c r="J196" s="179">
        <f t="shared" si="25"/>
        <v>0.037375000000000005</v>
      </c>
      <c r="L196" s="178"/>
      <c r="M196" s="179"/>
    </row>
    <row r="197" spans="4:13" ht="12.75">
      <c r="D197" s="177">
        <v>193</v>
      </c>
      <c r="E197" s="178">
        <v>41101</v>
      </c>
      <c r="F197" s="179">
        <f t="shared" si="24"/>
        <v>0.03954166666666667</v>
      </c>
      <c r="H197" s="177">
        <v>193</v>
      </c>
      <c r="I197" s="178">
        <v>41467</v>
      </c>
      <c r="J197" s="179">
        <f t="shared" si="25"/>
        <v>0.037375000000000005</v>
      </c>
      <c r="L197" s="178"/>
      <c r="M197" s="179"/>
    </row>
    <row r="198" spans="4:13" ht="12.75">
      <c r="D198" s="177">
        <v>194</v>
      </c>
      <c r="E198" s="178">
        <v>41102</v>
      </c>
      <c r="F198" s="179">
        <f t="shared" si="24"/>
        <v>0.03954166666666667</v>
      </c>
      <c r="H198" s="177">
        <v>194</v>
      </c>
      <c r="I198" s="178">
        <v>41468</v>
      </c>
      <c r="J198" s="179">
        <f t="shared" si="25"/>
        <v>0.037375000000000005</v>
      </c>
      <c r="L198" s="178"/>
      <c r="M198" s="179"/>
    </row>
    <row r="199" spans="4:13" ht="12.75">
      <c r="D199" s="177">
        <v>195</v>
      </c>
      <c r="E199" s="178">
        <v>41103</v>
      </c>
      <c r="F199" s="179">
        <f t="shared" si="24"/>
        <v>0.03954166666666667</v>
      </c>
      <c r="H199" s="177">
        <v>195</v>
      </c>
      <c r="I199" s="178">
        <v>41469</v>
      </c>
      <c r="J199" s="179">
        <f t="shared" si="25"/>
        <v>0.037375000000000005</v>
      </c>
      <c r="L199" s="178"/>
      <c r="M199" s="179"/>
    </row>
    <row r="200" spans="4:13" ht="12.75">
      <c r="D200" s="177">
        <v>196</v>
      </c>
      <c r="E200" s="178">
        <v>41104</v>
      </c>
      <c r="F200" s="179">
        <f t="shared" si="24"/>
        <v>0.03954166666666667</v>
      </c>
      <c r="H200" s="177">
        <v>196</v>
      </c>
      <c r="I200" s="178">
        <v>41470</v>
      </c>
      <c r="J200" s="179">
        <f t="shared" si="25"/>
        <v>0.037375000000000005</v>
      </c>
      <c r="L200" s="178"/>
      <c r="M200" s="179"/>
    </row>
    <row r="201" spans="4:13" ht="12.75">
      <c r="D201" s="177">
        <v>197</v>
      </c>
      <c r="E201" s="178">
        <v>41105</v>
      </c>
      <c r="F201" s="179">
        <f t="shared" si="24"/>
        <v>0.03954166666666667</v>
      </c>
      <c r="H201" s="177">
        <v>197</v>
      </c>
      <c r="I201" s="178">
        <v>41471</v>
      </c>
      <c r="J201" s="179">
        <f t="shared" si="25"/>
        <v>0.037375000000000005</v>
      </c>
      <c r="L201" s="178"/>
      <c r="M201" s="179"/>
    </row>
    <row r="202" spans="4:13" ht="12.75">
      <c r="D202" s="177">
        <v>198</v>
      </c>
      <c r="E202" s="178">
        <v>41106</v>
      </c>
      <c r="F202" s="179">
        <f t="shared" si="24"/>
        <v>0.03954166666666667</v>
      </c>
      <c r="H202" s="177">
        <v>198</v>
      </c>
      <c r="I202" s="178">
        <v>41472</v>
      </c>
      <c r="J202" s="179">
        <f t="shared" si="25"/>
        <v>0.037375000000000005</v>
      </c>
      <c r="L202" s="178"/>
      <c r="M202" s="179"/>
    </row>
    <row r="203" spans="4:13" ht="12.75">
      <c r="D203" s="177">
        <v>199</v>
      </c>
      <c r="E203" s="178">
        <v>41107</v>
      </c>
      <c r="F203" s="179">
        <f t="shared" si="24"/>
        <v>0.03954166666666667</v>
      </c>
      <c r="H203" s="177">
        <v>199</v>
      </c>
      <c r="I203" s="178">
        <v>41473</v>
      </c>
      <c r="J203" s="179">
        <f t="shared" si="25"/>
        <v>0.037375000000000005</v>
      </c>
      <c r="L203" s="178"/>
      <c r="M203" s="179"/>
    </row>
    <row r="204" spans="4:13" ht="12.75">
      <c r="D204" s="177">
        <v>200</v>
      </c>
      <c r="E204" s="178">
        <v>41108</v>
      </c>
      <c r="F204" s="179">
        <f t="shared" si="24"/>
        <v>0.03954166666666667</v>
      </c>
      <c r="H204" s="177">
        <v>200</v>
      </c>
      <c r="I204" s="178">
        <v>41474</v>
      </c>
      <c r="J204" s="179">
        <f t="shared" si="25"/>
        <v>0.037375000000000005</v>
      </c>
      <c r="L204" s="178"/>
      <c r="M204" s="179"/>
    </row>
    <row r="205" spans="4:13" ht="12.75">
      <c r="D205" s="177">
        <v>201</v>
      </c>
      <c r="E205" s="178">
        <v>41109</v>
      </c>
      <c r="F205" s="179">
        <f t="shared" si="24"/>
        <v>0.03954166666666667</v>
      </c>
      <c r="H205" s="177">
        <v>201</v>
      </c>
      <c r="I205" s="178">
        <v>41475</v>
      </c>
      <c r="J205" s="179">
        <f t="shared" si="25"/>
        <v>0.037375000000000005</v>
      </c>
      <c r="L205" s="178"/>
      <c r="M205" s="179"/>
    </row>
    <row r="206" spans="4:13" ht="12.75">
      <c r="D206" s="177">
        <v>202</v>
      </c>
      <c r="E206" s="178">
        <v>41110</v>
      </c>
      <c r="F206" s="179">
        <f t="shared" si="24"/>
        <v>0.03954166666666667</v>
      </c>
      <c r="H206" s="177">
        <v>202</v>
      </c>
      <c r="I206" s="178">
        <v>41476</v>
      </c>
      <c r="J206" s="179">
        <f>J$176+J$4/H$4/100</f>
        <v>0.04025</v>
      </c>
      <c r="L206" s="178"/>
      <c r="M206" s="179"/>
    </row>
    <row r="207" spans="4:13" ht="12.75">
      <c r="D207" s="177">
        <v>203</v>
      </c>
      <c r="E207" s="178">
        <v>41111</v>
      </c>
      <c r="F207" s="179">
        <f>F$177+F$4/D$4/100</f>
        <v>0.042583333333333334</v>
      </c>
      <c r="H207" s="177">
        <v>203</v>
      </c>
      <c r="I207" s="178">
        <v>41477</v>
      </c>
      <c r="J207" s="179">
        <f aca="true" t="shared" si="26" ref="J207:J216">J$176+J$4/H$4/100</f>
        <v>0.04025</v>
      </c>
      <c r="L207" s="178"/>
      <c r="M207" s="179"/>
    </row>
    <row r="208" spans="4:13" ht="12.75">
      <c r="D208" s="177">
        <v>204</v>
      </c>
      <c r="E208" s="178">
        <v>41112</v>
      </c>
      <c r="F208" s="179">
        <f aca="true" t="shared" si="27" ref="F208:F217">F$177+F$4/D$4/100</f>
        <v>0.042583333333333334</v>
      </c>
      <c r="H208" s="177">
        <v>204</v>
      </c>
      <c r="I208" s="178">
        <v>41478</v>
      </c>
      <c r="J208" s="179">
        <f t="shared" si="26"/>
        <v>0.04025</v>
      </c>
      <c r="L208" s="178"/>
      <c r="M208" s="179"/>
    </row>
    <row r="209" spans="4:13" ht="12.75">
      <c r="D209" s="177">
        <v>205</v>
      </c>
      <c r="E209" s="178">
        <v>41113</v>
      </c>
      <c r="F209" s="179">
        <f t="shared" si="27"/>
        <v>0.042583333333333334</v>
      </c>
      <c r="H209" s="177">
        <v>205</v>
      </c>
      <c r="I209" s="178">
        <v>41479</v>
      </c>
      <c r="J209" s="179">
        <f t="shared" si="26"/>
        <v>0.04025</v>
      </c>
      <c r="L209" s="178"/>
      <c r="M209" s="179"/>
    </row>
    <row r="210" spans="4:13" ht="12.75">
      <c r="D210" s="177">
        <v>206</v>
      </c>
      <c r="E210" s="178">
        <v>41114</v>
      </c>
      <c r="F210" s="179">
        <f t="shared" si="27"/>
        <v>0.042583333333333334</v>
      </c>
      <c r="H210" s="177">
        <v>206</v>
      </c>
      <c r="I210" s="178">
        <v>41480</v>
      </c>
      <c r="J210" s="179">
        <f t="shared" si="26"/>
        <v>0.04025</v>
      </c>
      <c r="L210" s="178"/>
      <c r="M210" s="179"/>
    </row>
    <row r="211" spans="4:13" ht="12.75">
      <c r="D211" s="177">
        <v>207</v>
      </c>
      <c r="E211" s="178">
        <v>41115</v>
      </c>
      <c r="F211" s="179">
        <f t="shared" si="27"/>
        <v>0.042583333333333334</v>
      </c>
      <c r="H211" s="177">
        <v>207</v>
      </c>
      <c r="I211" s="178">
        <v>41481</v>
      </c>
      <c r="J211" s="179">
        <f t="shared" si="26"/>
        <v>0.04025</v>
      </c>
      <c r="L211" s="178"/>
      <c r="M211" s="179"/>
    </row>
    <row r="212" spans="4:13" ht="12.75">
      <c r="D212" s="177">
        <v>208</v>
      </c>
      <c r="E212" s="178">
        <v>41116</v>
      </c>
      <c r="F212" s="179">
        <f t="shared" si="27"/>
        <v>0.042583333333333334</v>
      </c>
      <c r="H212" s="177">
        <v>208</v>
      </c>
      <c r="I212" s="178">
        <v>41482</v>
      </c>
      <c r="J212" s="179">
        <f t="shared" si="26"/>
        <v>0.04025</v>
      </c>
      <c r="L212" s="178"/>
      <c r="M212" s="179"/>
    </row>
    <row r="213" spans="4:13" ht="12.75">
      <c r="D213" s="177">
        <v>209</v>
      </c>
      <c r="E213" s="178">
        <v>41117</v>
      </c>
      <c r="F213" s="179">
        <f t="shared" si="27"/>
        <v>0.042583333333333334</v>
      </c>
      <c r="H213" s="177">
        <v>209</v>
      </c>
      <c r="I213" s="178">
        <v>41483</v>
      </c>
      <c r="J213" s="179">
        <f t="shared" si="26"/>
        <v>0.04025</v>
      </c>
      <c r="L213" s="178"/>
      <c r="M213" s="179"/>
    </row>
    <row r="214" spans="4:13" ht="12.75">
      <c r="D214" s="177">
        <v>210</v>
      </c>
      <c r="E214" s="178">
        <v>41118</v>
      </c>
      <c r="F214" s="179">
        <f t="shared" si="27"/>
        <v>0.042583333333333334</v>
      </c>
      <c r="H214" s="177">
        <v>210</v>
      </c>
      <c r="I214" s="178">
        <v>41484</v>
      </c>
      <c r="J214" s="179">
        <f t="shared" si="26"/>
        <v>0.04025</v>
      </c>
      <c r="L214" s="178"/>
      <c r="M214" s="179"/>
    </row>
    <row r="215" spans="4:13" ht="12.75">
      <c r="D215" s="177">
        <v>211</v>
      </c>
      <c r="E215" s="178">
        <v>41119</v>
      </c>
      <c r="F215" s="179">
        <f t="shared" si="27"/>
        <v>0.042583333333333334</v>
      </c>
      <c r="H215" s="177">
        <v>211</v>
      </c>
      <c r="I215" s="178">
        <v>41485</v>
      </c>
      <c r="J215" s="179">
        <f t="shared" si="26"/>
        <v>0.04025</v>
      </c>
      <c r="L215" s="178"/>
      <c r="M215" s="179"/>
    </row>
    <row r="216" spans="4:13" ht="12.75">
      <c r="D216" s="177">
        <v>212</v>
      </c>
      <c r="E216" s="178">
        <v>41120</v>
      </c>
      <c r="F216" s="179">
        <f t="shared" si="27"/>
        <v>0.042583333333333334</v>
      </c>
      <c r="H216" s="177">
        <v>212</v>
      </c>
      <c r="I216" s="178">
        <v>41486</v>
      </c>
      <c r="J216" s="179">
        <f t="shared" si="26"/>
        <v>0.04025</v>
      </c>
      <c r="L216" s="178"/>
      <c r="M216" s="179"/>
    </row>
    <row r="217" spans="4:13" ht="12.75">
      <c r="D217" s="177">
        <v>213</v>
      </c>
      <c r="E217" s="178">
        <v>41121</v>
      </c>
      <c r="F217" s="179">
        <f t="shared" si="27"/>
        <v>0.042583333333333334</v>
      </c>
      <c r="H217" s="177">
        <v>213</v>
      </c>
      <c r="I217" s="178">
        <v>41487</v>
      </c>
      <c r="J217" s="179">
        <f>J$186+J$4/H$4/100</f>
        <v>0.043125000000000004</v>
      </c>
      <c r="L217" s="178"/>
      <c r="M217" s="179"/>
    </row>
    <row r="218" spans="4:13" ht="12.75">
      <c r="D218" s="177">
        <v>214</v>
      </c>
      <c r="E218" s="178">
        <v>41122</v>
      </c>
      <c r="F218" s="179">
        <f>F$187+F$4/D$4/100</f>
        <v>0.045625</v>
      </c>
      <c r="H218" s="177">
        <v>214</v>
      </c>
      <c r="I218" s="178">
        <v>41488</v>
      </c>
      <c r="J218" s="179">
        <f aca="true" t="shared" si="28" ref="J218:J236">J$186+J$4/H$4/100</f>
        <v>0.043125000000000004</v>
      </c>
      <c r="L218" s="178"/>
      <c r="M218" s="179"/>
    </row>
    <row r="219" spans="4:13" ht="12.75">
      <c r="D219" s="177">
        <v>215</v>
      </c>
      <c r="E219" s="178">
        <v>41123</v>
      </c>
      <c r="F219" s="179">
        <f aca="true" t="shared" si="29" ref="F219:F237">F$187+F$4/D$4/100</f>
        <v>0.045625</v>
      </c>
      <c r="H219" s="177">
        <v>215</v>
      </c>
      <c r="I219" s="178">
        <v>41489</v>
      </c>
      <c r="J219" s="179">
        <f t="shared" si="28"/>
        <v>0.043125000000000004</v>
      </c>
      <c r="L219" s="178"/>
      <c r="M219" s="179"/>
    </row>
    <row r="220" spans="4:13" ht="12.75">
      <c r="D220" s="177">
        <v>216</v>
      </c>
      <c r="E220" s="178">
        <v>41124</v>
      </c>
      <c r="F220" s="179">
        <f t="shared" si="29"/>
        <v>0.045625</v>
      </c>
      <c r="H220" s="177">
        <v>216</v>
      </c>
      <c r="I220" s="178">
        <v>41490</v>
      </c>
      <c r="J220" s="179">
        <f t="shared" si="28"/>
        <v>0.043125000000000004</v>
      </c>
      <c r="L220" s="178"/>
      <c r="M220" s="179"/>
    </row>
    <row r="221" spans="4:13" ht="12.75">
      <c r="D221" s="177">
        <v>217</v>
      </c>
      <c r="E221" s="178">
        <v>41125</v>
      </c>
      <c r="F221" s="179">
        <f t="shared" si="29"/>
        <v>0.045625</v>
      </c>
      <c r="H221" s="177">
        <v>217</v>
      </c>
      <c r="I221" s="178">
        <v>41491</v>
      </c>
      <c r="J221" s="179">
        <f t="shared" si="28"/>
        <v>0.043125000000000004</v>
      </c>
      <c r="L221" s="178"/>
      <c r="M221" s="179"/>
    </row>
    <row r="222" spans="4:13" ht="12.75">
      <c r="D222" s="177">
        <v>218</v>
      </c>
      <c r="E222" s="178">
        <v>41126</v>
      </c>
      <c r="F222" s="179">
        <f t="shared" si="29"/>
        <v>0.045625</v>
      </c>
      <c r="H222" s="177">
        <v>218</v>
      </c>
      <c r="I222" s="178">
        <v>41492</v>
      </c>
      <c r="J222" s="179">
        <f t="shared" si="28"/>
        <v>0.043125000000000004</v>
      </c>
      <c r="L222" s="178"/>
      <c r="M222" s="179"/>
    </row>
    <row r="223" spans="4:13" ht="12.75">
      <c r="D223" s="177">
        <v>219</v>
      </c>
      <c r="E223" s="178">
        <v>41127</v>
      </c>
      <c r="F223" s="179">
        <f t="shared" si="29"/>
        <v>0.045625</v>
      </c>
      <c r="H223" s="177">
        <v>219</v>
      </c>
      <c r="I223" s="178">
        <v>41493</v>
      </c>
      <c r="J223" s="179">
        <f t="shared" si="28"/>
        <v>0.043125000000000004</v>
      </c>
      <c r="L223" s="178"/>
      <c r="M223" s="179"/>
    </row>
    <row r="224" spans="4:13" ht="12.75">
      <c r="D224" s="177">
        <v>220</v>
      </c>
      <c r="E224" s="178">
        <v>41128</v>
      </c>
      <c r="F224" s="179">
        <f t="shared" si="29"/>
        <v>0.045625</v>
      </c>
      <c r="H224" s="177">
        <v>220</v>
      </c>
      <c r="I224" s="178">
        <v>41494</v>
      </c>
      <c r="J224" s="179">
        <f t="shared" si="28"/>
        <v>0.043125000000000004</v>
      </c>
      <c r="L224" s="178"/>
      <c r="M224" s="179"/>
    </row>
    <row r="225" spans="4:13" ht="12.75">
      <c r="D225" s="177">
        <v>221</v>
      </c>
      <c r="E225" s="178">
        <v>41129</v>
      </c>
      <c r="F225" s="179">
        <f t="shared" si="29"/>
        <v>0.045625</v>
      </c>
      <c r="H225" s="177">
        <v>221</v>
      </c>
      <c r="I225" s="178">
        <v>41495</v>
      </c>
      <c r="J225" s="179">
        <f t="shared" si="28"/>
        <v>0.043125000000000004</v>
      </c>
      <c r="L225" s="178"/>
      <c r="M225" s="179"/>
    </row>
    <row r="226" spans="4:13" ht="12.75">
      <c r="D226" s="177">
        <v>222</v>
      </c>
      <c r="E226" s="178">
        <v>41130</v>
      </c>
      <c r="F226" s="179">
        <f t="shared" si="29"/>
        <v>0.045625</v>
      </c>
      <c r="H226" s="177">
        <v>222</v>
      </c>
      <c r="I226" s="178">
        <v>41496</v>
      </c>
      <c r="J226" s="179">
        <f t="shared" si="28"/>
        <v>0.043125000000000004</v>
      </c>
      <c r="L226" s="178"/>
      <c r="M226" s="179"/>
    </row>
    <row r="227" spans="4:13" ht="12.75">
      <c r="D227" s="177">
        <v>223</v>
      </c>
      <c r="E227" s="178">
        <v>41131</v>
      </c>
      <c r="F227" s="179">
        <f t="shared" si="29"/>
        <v>0.045625</v>
      </c>
      <c r="H227" s="177">
        <v>223</v>
      </c>
      <c r="I227" s="178">
        <v>41497</v>
      </c>
      <c r="J227" s="179">
        <f t="shared" si="28"/>
        <v>0.043125000000000004</v>
      </c>
      <c r="L227" s="178"/>
      <c r="M227" s="179"/>
    </row>
    <row r="228" spans="4:13" ht="12.75">
      <c r="D228" s="177">
        <v>224</v>
      </c>
      <c r="E228" s="178">
        <v>41132</v>
      </c>
      <c r="F228" s="179">
        <f t="shared" si="29"/>
        <v>0.045625</v>
      </c>
      <c r="H228" s="177">
        <v>224</v>
      </c>
      <c r="I228" s="178">
        <v>41498</v>
      </c>
      <c r="J228" s="179">
        <f t="shared" si="28"/>
        <v>0.043125000000000004</v>
      </c>
      <c r="L228" s="178"/>
      <c r="M228" s="179"/>
    </row>
    <row r="229" spans="4:13" ht="12.75">
      <c r="D229" s="177">
        <v>225</v>
      </c>
      <c r="E229" s="178">
        <v>41133</v>
      </c>
      <c r="F229" s="179">
        <f t="shared" si="29"/>
        <v>0.045625</v>
      </c>
      <c r="H229" s="177">
        <v>225</v>
      </c>
      <c r="I229" s="178">
        <v>41499</v>
      </c>
      <c r="J229" s="179">
        <f t="shared" si="28"/>
        <v>0.043125000000000004</v>
      </c>
      <c r="L229" s="178"/>
      <c r="M229" s="179"/>
    </row>
    <row r="230" spans="4:13" ht="12.75">
      <c r="D230" s="177">
        <v>226</v>
      </c>
      <c r="E230" s="178">
        <v>41134</v>
      </c>
      <c r="F230" s="179">
        <f t="shared" si="29"/>
        <v>0.045625</v>
      </c>
      <c r="H230" s="177">
        <v>226</v>
      </c>
      <c r="I230" s="178">
        <v>41500</v>
      </c>
      <c r="J230" s="179">
        <f t="shared" si="28"/>
        <v>0.043125000000000004</v>
      </c>
      <c r="L230" s="178"/>
      <c r="M230" s="179"/>
    </row>
    <row r="231" spans="4:13" ht="12.75">
      <c r="D231" s="177">
        <v>227</v>
      </c>
      <c r="E231" s="178">
        <v>41135</v>
      </c>
      <c r="F231" s="179">
        <f t="shared" si="29"/>
        <v>0.045625</v>
      </c>
      <c r="H231" s="177">
        <v>227</v>
      </c>
      <c r="I231" s="178">
        <v>41501</v>
      </c>
      <c r="J231" s="179">
        <f t="shared" si="28"/>
        <v>0.043125000000000004</v>
      </c>
      <c r="L231" s="178"/>
      <c r="M231" s="179"/>
    </row>
    <row r="232" spans="4:13" ht="12.75">
      <c r="D232" s="177">
        <v>228</v>
      </c>
      <c r="E232" s="178">
        <v>41136</v>
      </c>
      <c r="F232" s="179">
        <f t="shared" si="29"/>
        <v>0.045625</v>
      </c>
      <c r="H232" s="177">
        <v>228</v>
      </c>
      <c r="I232" s="178">
        <v>41502</v>
      </c>
      <c r="J232" s="179">
        <f t="shared" si="28"/>
        <v>0.043125000000000004</v>
      </c>
      <c r="L232" s="178"/>
      <c r="M232" s="179"/>
    </row>
    <row r="233" spans="4:13" ht="12.75">
      <c r="D233" s="177">
        <v>229</v>
      </c>
      <c r="E233" s="178">
        <v>41137</v>
      </c>
      <c r="F233" s="179">
        <f t="shared" si="29"/>
        <v>0.045625</v>
      </c>
      <c r="H233" s="177">
        <v>229</v>
      </c>
      <c r="I233" s="178">
        <v>41503</v>
      </c>
      <c r="J233" s="179">
        <f t="shared" si="28"/>
        <v>0.043125000000000004</v>
      </c>
      <c r="L233" s="178"/>
      <c r="M233" s="179"/>
    </row>
    <row r="234" spans="4:13" ht="12.75">
      <c r="D234" s="177">
        <v>230</v>
      </c>
      <c r="E234" s="178">
        <v>41138</v>
      </c>
      <c r="F234" s="179">
        <f t="shared" si="29"/>
        <v>0.045625</v>
      </c>
      <c r="H234" s="177">
        <v>230</v>
      </c>
      <c r="I234" s="178">
        <v>41504</v>
      </c>
      <c r="J234" s="179">
        <f t="shared" si="28"/>
        <v>0.043125000000000004</v>
      </c>
      <c r="L234" s="178"/>
      <c r="M234" s="179"/>
    </row>
    <row r="235" spans="4:13" ht="12.75">
      <c r="D235" s="177">
        <v>231</v>
      </c>
      <c r="E235" s="178">
        <v>41139</v>
      </c>
      <c r="F235" s="179">
        <f t="shared" si="29"/>
        <v>0.045625</v>
      </c>
      <c r="H235" s="177">
        <v>231</v>
      </c>
      <c r="I235" s="178">
        <v>41505</v>
      </c>
      <c r="J235" s="179">
        <f t="shared" si="28"/>
        <v>0.043125000000000004</v>
      </c>
      <c r="L235" s="178"/>
      <c r="M235" s="179"/>
    </row>
    <row r="236" spans="4:13" ht="12.75">
      <c r="D236" s="177">
        <v>232</v>
      </c>
      <c r="E236" s="178">
        <v>41140</v>
      </c>
      <c r="F236" s="179">
        <f t="shared" si="29"/>
        <v>0.045625</v>
      </c>
      <c r="H236" s="177">
        <v>232</v>
      </c>
      <c r="I236" s="178">
        <v>41506</v>
      </c>
      <c r="J236" s="179">
        <f t="shared" si="28"/>
        <v>0.043125000000000004</v>
      </c>
      <c r="L236" s="178"/>
      <c r="M236" s="179"/>
    </row>
    <row r="237" spans="4:13" ht="12.75">
      <c r="D237" s="177">
        <v>233</v>
      </c>
      <c r="E237" s="178">
        <v>41141</v>
      </c>
      <c r="F237" s="179">
        <f t="shared" si="29"/>
        <v>0.045625</v>
      </c>
      <c r="H237" s="177">
        <v>233</v>
      </c>
      <c r="I237" s="178">
        <v>41507</v>
      </c>
      <c r="J237" s="179">
        <f>J$206+J$4/H$4/100</f>
        <v>0.046</v>
      </c>
      <c r="L237" s="178"/>
      <c r="M237" s="179"/>
    </row>
    <row r="238" spans="4:13" ht="12.75">
      <c r="D238" s="177">
        <v>234</v>
      </c>
      <c r="E238" s="178">
        <v>41142</v>
      </c>
      <c r="F238" s="179">
        <f>F$207+F$4/D$4/100</f>
        <v>0.048666666666666664</v>
      </c>
      <c r="H238" s="177">
        <v>234</v>
      </c>
      <c r="I238" s="178">
        <v>41508</v>
      </c>
      <c r="J238" s="179">
        <f aca="true" t="shared" si="30" ref="J238:J247">J$206+J$4/H$4/100</f>
        <v>0.046</v>
      </c>
      <c r="L238" s="178"/>
      <c r="M238" s="179"/>
    </row>
    <row r="239" spans="4:13" ht="12.75">
      <c r="D239" s="177">
        <v>235</v>
      </c>
      <c r="E239" s="178">
        <v>41143</v>
      </c>
      <c r="F239" s="179">
        <f aca="true" t="shared" si="31" ref="F239:F248">F$207+F$4/D$4/100</f>
        <v>0.048666666666666664</v>
      </c>
      <c r="H239" s="177">
        <v>235</v>
      </c>
      <c r="I239" s="178">
        <v>41509</v>
      </c>
      <c r="J239" s="179">
        <f t="shared" si="30"/>
        <v>0.046</v>
      </c>
      <c r="L239" s="178"/>
      <c r="M239" s="179"/>
    </row>
    <row r="240" spans="4:13" ht="12.75">
      <c r="D240" s="177">
        <v>236</v>
      </c>
      <c r="E240" s="178">
        <v>41144</v>
      </c>
      <c r="F240" s="179">
        <f t="shared" si="31"/>
        <v>0.048666666666666664</v>
      </c>
      <c r="H240" s="177">
        <v>236</v>
      </c>
      <c r="I240" s="178">
        <v>41510</v>
      </c>
      <c r="J240" s="179">
        <f t="shared" si="30"/>
        <v>0.046</v>
      </c>
      <c r="L240" s="178"/>
      <c r="M240" s="179"/>
    </row>
    <row r="241" spans="4:13" ht="12.75">
      <c r="D241" s="177">
        <v>237</v>
      </c>
      <c r="E241" s="178">
        <v>41145</v>
      </c>
      <c r="F241" s="179">
        <f t="shared" si="31"/>
        <v>0.048666666666666664</v>
      </c>
      <c r="H241" s="177">
        <v>237</v>
      </c>
      <c r="I241" s="178">
        <v>41511</v>
      </c>
      <c r="J241" s="179">
        <f t="shared" si="30"/>
        <v>0.046</v>
      </c>
      <c r="L241" s="178"/>
      <c r="M241" s="179"/>
    </row>
    <row r="242" spans="4:13" ht="12.75">
      <c r="D242" s="177">
        <v>238</v>
      </c>
      <c r="E242" s="178">
        <v>41146</v>
      </c>
      <c r="F242" s="179">
        <f t="shared" si="31"/>
        <v>0.048666666666666664</v>
      </c>
      <c r="H242" s="177">
        <v>238</v>
      </c>
      <c r="I242" s="178">
        <v>41512</v>
      </c>
      <c r="J242" s="179">
        <f t="shared" si="30"/>
        <v>0.046</v>
      </c>
      <c r="L242" s="178"/>
      <c r="M242" s="179"/>
    </row>
    <row r="243" spans="4:13" ht="12.75">
      <c r="D243" s="177">
        <v>239</v>
      </c>
      <c r="E243" s="178">
        <v>41147</v>
      </c>
      <c r="F243" s="179">
        <f t="shared" si="31"/>
        <v>0.048666666666666664</v>
      </c>
      <c r="H243" s="177">
        <v>239</v>
      </c>
      <c r="I243" s="178">
        <v>41513</v>
      </c>
      <c r="J243" s="179">
        <f t="shared" si="30"/>
        <v>0.046</v>
      </c>
      <c r="L243" s="178"/>
      <c r="M243" s="179"/>
    </row>
    <row r="244" spans="4:13" ht="12.75">
      <c r="D244" s="177">
        <v>240</v>
      </c>
      <c r="E244" s="178">
        <v>41148</v>
      </c>
      <c r="F244" s="179">
        <f t="shared" si="31"/>
        <v>0.048666666666666664</v>
      </c>
      <c r="H244" s="177">
        <v>240</v>
      </c>
      <c r="I244" s="178">
        <v>41514</v>
      </c>
      <c r="J244" s="179">
        <f t="shared" si="30"/>
        <v>0.046</v>
      </c>
      <c r="L244" s="178"/>
      <c r="M244" s="179"/>
    </row>
    <row r="245" spans="4:13" ht="12.75">
      <c r="D245" s="177">
        <v>241</v>
      </c>
      <c r="E245" s="178">
        <v>41149</v>
      </c>
      <c r="F245" s="179">
        <f t="shared" si="31"/>
        <v>0.048666666666666664</v>
      </c>
      <c r="H245" s="177">
        <v>241</v>
      </c>
      <c r="I245" s="178">
        <v>41515</v>
      </c>
      <c r="J245" s="179">
        <f t="shared" si="30"/>
        <v>0.046</v>
      </c>
      <c r="L245" s="178"/>
      <c r="M245" s="179"/>
    </row>
    <row r="246" spans="4:13" ht="12.75">
      <c r="D246" s="177">
        <v>242</v>
      </c>
      <c r="E246" s="178">
        <v>41150</v>
      </c>
      <c r="F246" s="179">
        <f t="shared" si="31"/>
        <v>0.048666666666666664</v>
      </c>
      <c r="H246" s="177">
        <v>242</v>
      </c>
      <c r="I246" s="178">
        <v>41516</v>
      </c>
      <c r="J246" s="179">
        <f t="shared" si="30"/>
        <v>0.046</v>
      </c>
      <c r="L246" s="178"/>
      <c r="M246" s="179"/>
    </row>
    <row r="247" spans="4:13" ht="12.75">
      <c r="D247" s="177">
        <v>243</v>
      </c>
      <c r="E247" s="178">
        <v>41151</v>
      </c>
      <c r="F247" s="179">
        <f t="shared" si="31"/>
        <v>0.048666666666666664</v>
      </c>
      <c r="H247" s="177">
        <v>243</v>
      </c>
      <c r="I247" s="178">
        <v>41517</v>
      </c>
      <c r="J247" s="179">
        <f t="shared" si="30"/>
        <v>0.046</v>
      </c>
      <c r="L247" s="178"/>
      <c r="M247" s="179"/>
    </row>
    <row r="248" spans="4:13" ht="12.75">
      <c r="D248" s="177">
        <v>244</v>
      </c>
      <c r="E248" s="178">
        <v>41152</v>
      </c>
      <c r="F248" s="179">
        <f t="shared" si="31"/>
        <v>0.048666666666666664</v>
      </c>
      <c r="H248" s="177">
        <v>244</v>
      </c>
      <c r="I248" s="178">
        <v>41518</v>
      </c>
      <c r="J248" s="179">
        <f>J$217+J$4/H$4/100</f>
        <v>0.048875</v>
      </c>
      <c r="L248" s="178"/>
      <c r="M248" s="179"/>
    </row>
    <row r="249" spans="4:13" ht="12.75">
      <c r="D249" s="177">
        <v>245</v>
      </c>
      <c r="E249" s="178">
        <v>41153</v>
      </c>
      <c r="F249" s="179">
        <f>F$218+F$4/D$4/100</f>
        <v>0.05170833333333333</v>
      </c>
      <c r="H249" s="177">
        <v>245</v>
      </c>
      <c r="I249" s="178">
        <v>41519</v>
      </c>
      <c r="J249" s="179">
        <f aca="true" t="shared" si="32" ref="J249:J267">J$217+J$4/H$4/100</f>
        <v>0.048875</v>
      </c>
      <c r="L249" s="178"/>
      <c r="M249" s="179"/>
    </row>
    <row r="250" spans="4:13" ht="12.75">
      <c r="D250" s="177">
        <v>246</v>
      </c>
      <c r="E250" s="178">
        <v>41154</v>
      </c>
      <c r="F250" s="179">
        <f aca="true" t="shared" si="33" ref="F250:F268">F$218+F$4/D$4/100</f>
        <v>0.05170833333333333</v>
      </c>
      <c r="H250" s="177">
        <v>246</v>
      </c>
      <c r="I250" s="178">
        <v>41520</v>
      </c>
      <c r="J250" s="179">
        <f t="shared" si="32"/>
        <v>0.048875</v>
      </c>
      <c r="L250" s="178"/>
      <c r="M250" s="179"/>
    </row>
    <row r="251" spans="4:13" ht="12.75">
      <c r="D251" s="177">
        <v>247</v>
      </c>
      <c r="E251" s="178">
        <v>41155</v>
      </c>
      <c r="F251" s="179">
        <f t="shared" si="33"/>
        <v>0.05170833333333333</v>
      </c>
      <c r="H251" s="177">
        <v>247</v>
      </c>
      <c r="I251" s="178">
        <v>41521</v>
      </c>
      <c r="J251" s="179">
        <f t="shared" si="32"/>
        <v>0.048875</v>
      </c>
      <c r="L251" s="178"/>
      <c r="M251" s="179"/>
    </row>
    <row r="252" spans="4:13" ht="12.75">
      <c r="D252" s="177">
        <v>248</v>
      </c>
      <c r="E252" s="178">
        <v>41156</v>
      </c>
      <c r="F252" s="179">
        <f t="shared" si="33"/>
        <v>0.05170833333333333</v>
      </c>
      <c r="H252" s="177">
        <v>248</v>
      </c>
      <c r="I252" s="178">
        <v>41522</v>
      </c>
      <c r="J252" s="179">
        <f t="shared" si="32"/>
        <v>0.048875</v>
      </c>
      <c r="L252" s="178"/>
      <c r="M252" s="179"/>
    </row>
    <row r="253" spans="4:13" ht="12.75">
      <c r="D253" s="177">
        <v>249</v>
      </c>
      <c r="E253" s="178">
        <v>41157</v>
      </c>
      <c r="F253" s="179">
        <f t="shared" si="33"/>
        <v>0.05170833333333333</v>
      </c>
      <c r="H253" s="177">
        <v>249</v>
      </c>
      <c r="I253" s="178">
        <v>41523</v>
      </c>
      <c r="J253" s="179">
        <f t="shared" si="32"/>
        <v>0.048875</v>
      </c>
      <c r="L253" s="178"/>
      <c r="M253" s="179"/>
    </row>
    <row r="254" spans="4:13" ht="12.75">
      <c r="D254" s="177">
        <v>250</v>
      </c>
      <c r="E254" s="178">
        <v>41158</v>
      </c>
      <c r="F254" s="179">
        <f t="shared" si="33"/>
        <v>0.05170833333333333</v>
      </c>
      <c r="H254" s="177">
        <v>250</v>
      </c>
      <c r="I254" s="178">
        <v>41524</v>
      </c>
      <c r="J254" s="179">
        <f t="shared" si="32"/>
        <v>0.048875</v>
      </c>
      <c r="L254" s="178"/>
      <c r="M254" s="179"/>
    </row>
    <row r="255" spans="4:13" ht="12.75">
      <c r="D255" s="177">
        <v>251</v>
      </c>
      <c r="E255" s="178">
        <v>41159</v>
      </c>
      <c r="F255" s="179">
        <f t="shared" si="33"/>
        <v>0.05170833333333333</v>
      </c>
      <c r="H255" s="177">
        <v>251</v>
      </c>
      <c r="I255" s="178">
        <v>41525</v>
      </c>
      <c r="J255" s="179">
        <f t="shared" si="32"/>
        <v>0.048875</v>
      </c>
      <c r="L255" s="178"/>
      <c r="M255" s="179"/>
    </row>
    <row r="256" spans="4:13" ht="12.75">
      <c r="D256" s="177">
        <v>252</v>
      </c>
      <c r="E256" s="178">
        <v>41160</v>
      </c>
      <c r="F256" s="179">
        <f t="shared" si="33"/>
        <v>0.05170833333333333</v>
      </c>
      <c r="H256" s="177">
        <v>252</v>
      </c>
      <c r="I256" s="178">
        <v>41526</v>
      </c>
      <c r="J256" s="179">
        <f t="shared" si="32"/>
        <v>0.048875</v>
      </c>
      <c r="L256" s="178"/>
      <c r="M256" s="179"/>
    </row>
    <row r="257" spans="4:13" ht="12.75">
      <c r="D257" s="177">
        <v>253</v>
      </c>
      <c r="E257" s="178">
        <v>41161</v>
      </c>
      <c r="F257" s="179">
        <f t="shared" si="33"/>
        <v>0.05170833333333333</v>
      </c>
      <c r="H257" s="177">
        <v>253</v>
      </c>
      <c r="I257" s="178">
        <v>41527</v>
      </c>
      <c r="J257" s="179">
        <f t="shared" si="32"/>
        <v>0.048875</v>
      </c>
      <c r="L257" s="178"/>
      <c r="M257" s="179"/>
    </row>
    <row r="258" spans="4:13" ht="12.75">
      <c r="D258" s="177">
        <v>254</v>
      </c>
      <c r="E258" s="178">
        <v>41162</v>
      </c>
      <c r="F258" s="179">
        <f t="shared" si="33"/>
        <v>0.05170833333333333</v>
      </c>
      <c r="H258" s="177">
        <v>254</v>
      </c>
      <c r="I258" s="178">
        <v>41528</v>
      </c>
      <c r="J258" s="179">
        <f t="shared" si="32"/>
        <v>0.048875</v>
      </c>
      <c r="L258" s="178"/>
      <c r="M258" s="179"/>
    </row>
    <row r="259" spans="4:13" ht="12.75">
      <c r="D259" s="177">
        <v>255</v>
      </c>
      <c r="E259" s="178">
        <v>41163</v>
      </c>
      <c r="F259" s="179">
        <f t="shared" si="33"/>
        <v>0.05170833333333333</v>
      </c>
      <c r="H259" s="177">
        <v>255</v>
      </c>
      <c r="I259" s="178">
        <v>41529</v>
      </c>
      <c r="J259" s="179">
        <f t="shared" si="32"/>
        <v>0.048875</v>
      </c>
      <c r="L259" s="178"/>
      <c r="M259" s="179"/>
    </row>
    <row r="260" spans="4:13" ht="12.75">
      <c r="D260" s="177">
        <v>256</v>
      </c>
      <c r="E260" s="178">
        <v>41164</v>
      </c>
      <c r="F260" s="179">
        <f t="shared" si="33"/>
        <v>0.05170833333333333</v>
      </c>
      <c r="H260" s="177">
        <v>256</v>
      </c>
      <c r="I260" s="178">
        <v>41530</v>
      </c>
      <c r="J260" s="179">
        <f t="shared" si="32"/>
        <v>0.048875</v>
      </c>
      <c r="L260" s="178"/>
      <c r="M260" s="179"/>
    </row>
    <row r="261" spans="4:13" ht="12.75">
      <c r="D261" s="177">
        <v>257</v>
      </c>
      <c r="E261" s="178">
        <v>41165</v>
      </c>
      <c r="F261" s="179">
        <f t="shared" si="33"/>
        <v>0.05170833333333333</v>
      </c>
      <c r="H261" s="177">
        <v>257</v>
      </c>
      <c r="I261" s="178">
        <v>41531</v>
      </c>
      <c r="J261" s="179">
        <f t="shared" si="32"/>
        <v>0.048875</v>
      </c>
      <c r="L261" s="178"/>
      <c r="M261" s="179"/>
    </row>
    <row r="262" spans="4:13" ht="12.75">
      <c r="D262" s="177">
        <v>258</v>
      </c>
      <c r="E262" s="178">
        <v>41166</v>
      </c>
      <c r="F262" s="179">
        <f t="shared" si="33"/>
        <v>0.05170833333333333</v>
      </c>
      <c r="H262" s="177">
        <v>258</v>
      </c>
      <c r="I262" s="178">
        <v>41532</v>
      </c>
      <c r="J262" s="179">
        <f t="shared" si="32"/>
        <v>0.048875</v>
      </c>
      <c r="L262" s="178"/>
      <c r="M262" s="179"/>
    </row>
    <row r="263" spans="4:13" ht="12.75">
      <c r="D263" s="177">
        <v>259</v>
      </c>
      <c r="E263" s="178">
        <v>41167</v>
      </c>
      <c r="F263" s="179">
        <f t="shared" si="33"/>
        <v>0.05170833333333333</v>
      </c>
      <c r="H263" s="177">
        <v>259</v>
      </c>
      <c r="I263" s="178">
        <v>41533</v>
      </c>
      <c r="J263" s="179">
        <f t="shared" si="32"/>
        <v>0.048875</v>
      </c>
      <c r="L263" s="178"/>
      <c r="M263" s="179"/>
    </row>
    <row r="264" spans="4:13" ht="12.75">
      <c r="D264" s="177">
        <v>260</v>
      </c>
      <c r="E264" s="178">
        <v>41168</v>
      </c>
      <c r="F264" s="179">
        <f t="shared" si="33"/>
        <v>0.05170833333333333</v>
      </c>
      <c r="H264" s="177">
        <v>260</v>
      </c>
      <c r="I264" s="178">
        <v>41534</v>
      </c>
      <c r="J264" s="179">
        <f t="shared" si="32"/>
        <v>0.048875</v>
      </c>
      <c r="L264" s="178"/>
      <c r="M264" s="179"/>
    </row>
    <row r="265" spans="4:13" ht="12.75">
      <c r="D265" s="177">
        <v>261</v>
      </c>
      <c r="E265" s="178">
        <v>41169</v>
      </c>
      <c r="F265" s="179">
        <f t="shared" si="33"/>
        <v>0.05170833333333333</v>
      </c>
      <c r="H265" s="177">
        <v>261</v>
      </c>
      <c r="I265" s="178">
        <v>41535</v>
      </c>
      <c r="J265" s="179">
        <f t="shared" si="32"/>
        <v>0.048875</v>
      </c>
      <c r="L265" s="178"/>
      <c r="M265" s="179"/>
    </row>
    <row r="266" spans="4:13" ht="12.75">
      <c r="D266" s="177">
        <v>262</v>
      </c>
      <c r="E266" s="178">
        <v>41170</v>
      </c>
      <c r="F266" s="179">
        <f t="shared" si="33"/>
        <v>0.05170833333333333</v>
      </c>
      <c r="H266" s="177">
        <v>262</v>
      </c>
      <c r="I266" s="178">
        <v>41536</v>
      </c>
      <c r="J266" s="179">
        <f t="shared" si="32"/>
        <v>0.048875</v>
      </c>
      <c r="L266" s="178"/>
      <c r="M266" s="179"/>
    </row>
    <row r="267" spans="4:13" ht="12.75">
      <c r="D267" s="177">
        <v>263</v>
      </c>
      <c r="E267" s="178">
        <v>41171</v>
      </c>
      <c r="F267" s="179">
        <f t="shared" si="33"/>
        <v>0.05170833333333333</v>
      </c>
      <c r="H267" s="177">
        <v>263</v>
      </c>
      <c r="I267" s="178">
        <v>41537</v>
      </c>
      <c r="J267" s="179">
        <f t="shared" si="32"/>
        <v>0.048875</v>
      </c>
      <c r="L267" s="178"/>
      <c r="M267" s="179"/>
    </row>
    <row r="268" spans="4:13" ht="12.75">
      <c r="D268" s="177">
        <v>264</v>
      </c>
      <c r="E268" s="178">
        <v>41172</v>
      </c>
      <c r="F268" s="179">
        <f t="shared" si="33"/>
        <v>0.05170833333333333</v>
      </c>
      <c r="H268" s="177">
        <v>264</v>
      </c>
      <c r="I268" s="178">
        <v>41538</v>
      </c>
      <c r="J268" s="179">
        <f>J$237+J$4/H$4/100</f>
        <v>0.05175</v>
      </c>
      <c r="L268" s="178"/>
      <c r="M268" s="179"/>
    </row>
    <row r="269" spans="4:13" ht="12.75">
      <c r="D269" s="177">
        <v>265</v>
      </c>
      <c r="E269" s="178">
        <v>41173</v>
      </c>
      <c r="F269" s="179">
        <f>F$238+F$4/D$4/100</f>
        <v>0.05474999999999999</v>
      </c>
      <c r="H269" s="177">
        <v>265</v>
      </c>
      <c r="I269" s="178">
        <v>41539</v>
      </c>
      <c r="J269" s="179">
        <f aca="true" t="shared" si="34" ref="J269:J277">J$237+J$4/H$4/100</f>
        <v>0.05175</v>
      </c>
      <c r="L269" s="178"/>
      <c r="M269" s="179"/>
    </row>
    <row r="270" spans="4:13" ht="12.75">
      <c r="D270" s="177">
        <v>266</v>
      </c>
      <c r="E270" s="178">
        <v>41174</v>
      </c>
      <c r="F270" s="179">
        <f aca="true" t="shared" si="35" ref="F270:F278">F$238+F$4/D$4/100</f>
        <v>0.05474999999999999</v>
      </c>
      <c r="H270" s="177">
        <v>266</v>
      </c>
      <c r="I270" s="178">
        <v>41540</v>
      </c>
      <c r="J270" s="179">
        <f t="shared" si="34"/>
        <v>0.05175</v>
      </c>
      <c r="L270" s="178"/>
      <c r="M270" s="179"/>
    </row>
    <row r="271" spans="4:13" ht="12.75">
      <c r="D271" s="177">
        <v>267</v>
      </c>
      <c r="E271" s="178">
        <v>41175</v>
      </c>
      <c r="F271" s="179">
        <f t="shared" si="35"/>
        <v>0.05474999999999999</v>
      </c>
      <c r="H271" s="177">
        <v>267</v>
      </c>
      <c r="I271" s="178">
        <v>41541</v>
      </c>
      <c r="J271" s="179">
        <f t="shared" si="34"/>
        <v>0.05175</v>
      </c>
      <c r="L271" s="178"/>
      <c r="M271" s="179"/>
    </row>
    <row r="272" spans="4:13" ht="12.75">
      <c r="D272" s="177">
        <v>268</v>
      </c>
      <c r="E272" s="178">
        <v>41176</v>
      </c>
      <c r="F272" s="179">
        <f t="shared" si="35"/>
        <v>0.05474999999999999</v>
      </c>
      <c r="H272" s="177">
        <v>268</v>
      </c>
      <c r="I272" s="178">
        <v>41542</v>
      </c>
      <c r="J272" s="179">
        <f t="shared" si="34"/>
        <v>0.05175</v>
      </c>
      <c r="L272" s="178"/>
      <c r="M272" s="179"/>
    </row>
    <row r="273" spans="4:13" ht="12.75">
      <c r="D273" s="177">
        <v>269</v>
      </c>
      <c r="E273" s="178">
        <v>41177</v>
      </c>
      <c r="F273" s="179">
        <f t="shared" si="35"/>
        <v>0.05474999999999999</v>
      </c>
      <c r="H273" s="177">
        <v>269</v>
      </c>
      <c r="I273" s="178">
        <v>41543</v>
      </c>
      <c r="J273" s="179">
        <f t="shared" si="34"/>
        <v>0.05175</v>
      </c>
      <c r="L273" s="178"/>
      <c r="M273" s="179"/>
    </row>
    <row r="274" spans="4:13" ht="12.75">
      <c r="D274" s="177">
        <v>270</v>
      </c>
      <c r="E274" s="178">
        <v>41178</v>
      </c>
      <c r="F274" s="179">
        <f t="shared" si="35"/>
        <v>0.05474999999999999</v>
      </c>
      <c r="H274" s="177">
        <v>270</v>
      </c>
      <c r="I274" s="178">
        <v>41544</v>
      </c>
      <c r="J274" s="179">
        <f t="shared" si="34"/>
        <v>0.05175</v>
      </c>
      <c r="L274" s="178"/>
      <c r="M274" s="179"/>
    </row>
    <row r="275" spans="4:13" ht="12.75">
      <c r="D275" s="177">
        <v>271</v>
      </c>
      <c r="E275" s="178">
        <v>41179</v>
      </c>
      <c r="F275" s="179">
        <f t="shared" si="35"/>
        <v>0.05474999999999999</v>
      </c>
      <c r="H275" s="177">
        <v>271</v>
      </c>
      <c r="I275" s="178">
        <v>41545</v>
      </c>
      <c r="J275" s="179">
        <f t="shared" si="34"/>
        <v>0.05175</v>
      </c>
      <c r="L275" s="178"/>
      <c r="M275" s="179"/>
    </row>
    <row r="276" spans="4:13" ht="12.75">
      <c r="D276" s="177">
        <v>272</v>
      </c>
      <c r="E276" s="178">
        <v>41180</v>
      </c>
      <c r="F276" s="179">
        <f t="shared" si="35"/>
        <v>0.05474999999999999</v>
      </c>
      <c r="H276" s="177">
        <v>272</v>
      </c>
      <c r="I276" s="178">
        <v>41546</v>
      </c>
      <c r="J276" s="179">
        <f t="shared" si="34"/>
        <v>0.05175</v>
      </c>
      <c r="L276" s="178"/>
      <c r="M276" s="179"/>
    </row>
    <row r="277" spans="4:13" ht="12.75">
      <c r="D277" s="177">
        <v>273</v>
      </c>
      <c r="E277" s="178">
        <v>41181</v>
      </c>
      <c r="F277" s="179">
        <f t="shared" si="35"/>
        <v>0.05474999999999999</v>
      </c>
      <c r="H277" s="177">
        <v>273</v>
      </c>
      <c r="I277" s="178">
        <v>41547</v>
      </c>
      <c r="J277" s="179">
        <f t="shared" si="34"/>
        <v>0.05175</v>
      </c>
      <c r="L277" s="178"/>
      <c r="M277" s="179"/>
    </row>
    <row r="278" spans="4:13" ht="12.75">
      <c r="D278" s="177">
        <v>274</v>
      </c>
      <c r="E278" s="178">
        <v>41182</v>
      </c>
      <c r="F278" s="179">
        <f t="shared" si="35"/>
        <v>0.05474999999999999</v>
      </c>
      <c r="H278" s="177">
        <v>274</v>
      </c>
      <c r="I278" s="178">
        <v>41548</v>
      </c>
      <c r="J278" s="179">
        <f>J$249+J$4/H$4/100</f>
        <v>0.054625</v>
      </c>
      <c r="L278" s="178"/>
      <c r="M278" s="179"/>
    </row>
    <row r="279" spans="4:13" ht="12.75">
      <c r="D279" s="177">
        <v>275</v>
      </c>
      <c r="E279" s="178">
        <v>41183</v>
      </c>
      <c r="F279" s="179">
        <f aca="true" t="shared" si="36" ref="F279:F298">F$249+F$4/D$4/100</f>
        <v>0.05779166666666666</v>
      </c>
      <c r="H279" s="177">
        <v>275</v>
      </c>
      <c r="I279" s="178">
        <v>41549</v>
      </c>
      <c r="J279" s="179">
        <f aca="true" t="shared" si="37" ref="J279:J297">J$249+J$4/H$4/100</f>
        <v>0.054625</v>
      </c>
      <c r="L279" s="178"/>
      <c r="M279" s="179"/>
    </row>
    <row r="280" spans="4:13" ht="12.75">
      <c r="D280" s="177">
        <v>276</v>
      </c>
      <c r="E280" s="178">
        <v>41184</v>
      </c>
      <c r="F280" s="179">
        <f t="shared" si="36"/>
        <v>0.05779166666666666</v>
      </c>
      <c r="H280" s="177">
        <v>276</v>
      </c>
      <c r="I280" s="178">
        <v>41550</v>
      </c>
      <c r="J280" s="179">
        <f t="shared" si="37"/>
        <v>0.054625</v>
      </c>
      <c r="L280" s="178"/>
      <c r="M280" s="179"/>
    </row>
    <row r="281" spans="4:13" ht="12.75">
      <c r="D281" s="177">
        <v>277</v>
      </c>
      <c r="E281" s="178">
        <v>41185</v>
      </c>
      <c r="F281" s="179">
        <f t="shared" si="36"/>
        <v>0.05779166666666666</v>
      </c>
      <c r="H281" s="177">
        <v>277</v>
      </c>
      <c r="I281" s="178">
        <v>41551</v>
      </c>
      <c r="J281" s="179">
        <f t="shared" si="37"/>
        <v>0.054625</v>
      </c>
      <c r="L281" s="178"/>
      <c r="M281" s="179"/>
    </row>
    <row r="282" spans="4:13" ht="12.75">
      <c r="D282" s="177">
        <v>278</v>
      </c>
      <c r="E282" s="178">
        <v>41186</v>
      </c>
      <c r="F282" s="179">
        <f t="shared" si="36"/>
        <v>0.05779166666666666</v>
      </c>
      <c r="H282" s="177">
        <v>278</v>
      </c>
      <c r="I282" s="178">
        <v>41552</v>
      </c>
      <c r="J282" s="179">
        <f t="shared" si="37"/>
        <v>0.054625</v>
      </c>
      <c r="L282" s="178"/>
      <c r="M282" s="179"/>
    </row>
    <row r="283" spans="4:13" ht="12.75">
      <c r="D283" s="177">
        <v>279</v>
      </c>
      <c r="E283" s="178">
        <v>41187</v>
      </c>
      <c r="F283" s="179">
        <f t="shared" si="36"/>
        <v>0.05779166666666666</v>
      </c>
      <c r="H283" s="177">
        <v>279</v>
      </c>
      <c r="I283" s="178">
        <v>41553</v>
      </c>
      <c r="J283" s="179">
        <f t="shared" si="37"/>
        <v>0.054625</v>
      </c>
      <c r="L283" s="178"/>
      <c r="M283" s="179"/>
    </row>
    <row r="284" spans="4:13" ht="12.75">
      <c r="D284" s="177">
        <v>280</v>
      </c>
      <c r="E284" s="178">
        <v>41188</v>
      </c>
      <c r="F284" s="179">
        <f t="shared" si="36"/>
        <v>0.05779166666666666</v>
      </c>
      <c r="H284" s="177">
        <v>280</v>
      </c>
      <c r="I284" s="178">
        <v>41554</v>
      </c>
      <c r="J284" s="179">
        <f t="shared" si="37"/>
        <v>0.054625</v>
      </c>
      <c r="L284" s="178"/>
      <c r="M284" s="179"/>
    </row>
    <row r="285" spans="4:13" ht="12.75">
      <c r="D285" s="177">
        <v>281</v>
      </c>
      <c r="E285" s="178">
        <v>41189</v>
      </c>
      <c r="F285" s="179">
        <f t="shared" si="36"/>
        <v>0.05779166666666666</v>
      </c>
      <c r="H285" s="177">
        <v>281</v>
      </c>
      <c r="I285" s="178">
        <v>41555</v>
      </c>
      <c r="J285" s="179">
        <f t="shared" si="37"/>
        <v>0.054625</v>
      </c>
      <c r="L285" s="178"/>
      <c r="M285" s="179"/>
    </row>
    <row r="286" spans="4:13" ht="12.75">
      <c r="D286" s="177">
        <v>282</v>
      </c>
      <c r="E286" s="178">
        <v>41190</v>
      </c>
      <c r="F286" s="179">
        <f t="shared" si="36"/>
        <v>0.05779166666666666</v>
      </c>
      <c r="H286" s="177">
        <v>282</v>
      </c>
      <c r="I286" s="178">
        <v>41556</v>
      </c>
      <c r="J286" s="179">
        <f t="shared" si="37"/>
        <v>0.054625</v>
      </c>
      <c r="L286" s="178"/>
      <c r="M286" s="179"/>
    </row>
    <row r="287" spans="4:13" ht="12.75">
      <c r="D287" s="177">
        <v>283</v>
      </c>
      <c r="E287" s="178">
        <v>41191</v>
      </c>
      <c r="F287" s="179">
        <f t="shared" si="36"/>
        <v>0.05779166666666666</v>
      </c>
      <c r="H287" s="177">
        <v>283</v>
      </c>
      <c r="I287" s="178">
        <v>41557</v>
      </c>
      <c r="J287" s="179">
        <f t="shared" si="37"/>
        <v>0.054625</v>
      </c>
      <c r="L287" s="178"/>
      <c r="M287" s="179"/>
    </row>
    <row r="288" spans="4:13" ht="12.75">
      <c r="D288" s="177">
        <v>284</v>
      </c>
      <c r="E288" s="178">
        <v>41192</v>
      </c>
      <c r="F288" s="179">
        <f t="shared" si="36"/>
        <v>0.05779166666666666</v>
      </c>
      <c r="H288" s="177">
        <v>284</v>
      </c>
      <c r="I288" s="178">
        <v>41558</v>
      </c>
      <c r="J288" s="179">
        <f t="shared" si="37"/>
        <v>0.054625</v>
      </c>
      <c r="L288" s="178"/>
      <c r="M288" s="179"/>
    </row>
    <row r="289" spans="4:13" ht="12.75">
      <c r="D289" s="177">
        <v>285</v>
      </c>
      <c r="E289" s="178">
        <v>41193</v>
      </c>
      <c r="F289" s="179">
        <f t="shared" si="36"/>
        <v>0.05779166666666666</v>
      </c>
      <c r="H289" s="177">
        <v>285</v>
      </c>
      <c r="I289" s="178">
        <v>41559</v>
      </c>
      <c r="J289" s="179">
        <f t="shared" si="37"/>
        <v>0.054625</v>
      </c>
      <c r="L289" s="178"/>
      <c r="M289" s="179"/>
    </row>
    <row r="290" spans="4:13" ht="12.75">
      <c r="D290" s="177">
        <v>286</v>
      </c>
      <c r="E290" s="178">
        <v>41194</v>
      </c>
      <c r="F290" s="179">
        <f t="shared" si="36"/>
        <v>0.05779166666666666</v>
      </c>
      <c r="H290" s="177">
        <v>286</v>
      </c>
      <c r="I290" s="178">
        <v>41560</v>
      </c>
      <c r="J290" s="179">
        <f t="shared" si="37"/>
        <v>0.054625</v>
      </c>
      <c r="L290" s="178"/>
      <c r="M290" s="179"/>
    </row>
    <row r="291" spans="4:13" ht="12.75">
      <c r="D291" s="177">
        <v>287</v>
      </c>
      <c r="E291" s="178">
        <v>41195</v>
      </c>
      <c r="F291" s="179">
        <f t="shared" si="36"/>
        <v>0.05779166666666666</v>
      </c>
      <c r="H291" s="177">
        <v>287</v>
      </c>
      <c r="I291" s="178">
        <v>41561</v>
      </c>
      <c r="J291" s="179">
        <f t="shared" si="37"/>
        <v>0.054625</v>
      </c>
      <c r="L291" s="178"/>
      <c r="M291" s="179"/>
    </row>
    <row r="292" spans="4:13" ht="12.75">
      <c r="D292" s="177">
        <v>288</v>
      </c>
      <c r="E292" s="178">
        <v>41196</v>
      </c>
      <c r="F292" s="179">
        <f t="shared" si="36"/>
        <v>0.05779166666666666</v>
      </c>
      <c r="H292" s="177">
        <v>288</v>
      </c>
      <c r="I292" s="178">
        <v>41562</v>
      </c>
      <c r="J292" s="179">
        <f t="shared" si="37"/>
        <v>0.054625</v>
      </c>
      <c r="L292" s="178"/>
      <c r="M292" s="179"/>
    </row>
    <row r="293" spans="4:13" ht="12.75">
      <c r="D293" s="177">
        <v>289</v>
      </c>
      <c r="E293" s="178">
        <v>41197</v>
      </c>
      <c r="F293" s="179">
        <f t="shared" si="36"/>
        <v>0.05779166666666666</v>
      </c>
      <c r="H293" s="177">
        <v>289</v>
      </c>
      <c r="I293" s="178">
        <v>41563</v>
      </c>
      <c r="J293" s="179">
        <f t="shared" si="37"/>
        <v>0.054625</v>
      </c>
      <c r="L293" s="178"/>
      <c r="M293" s="179"/>
    </row>
    <row r="294" spans="4:13" ht="12.75">
      <c r="D294" s="177">
        <v>290</v>
      </c>
      <c r="E294" s="178">
        <v>41198</v>
      </c>
      <c r="F294" s="179">
        <f t="shared" si="36"/>
        <v>0.05779166666666666</v>
      </c>
      <c r="H294" s="177">
        <v>290</v>
      </c>
      <c r="I294" s="178">
        <v>41564</v>
      </c>
      <c r="J294" s="179">
        <f t="shared" si="37"/>
        <v>0.054625</v>
      </c>
      <c r="L294" s="178"/>
      <c r="M294" s="179"/>
    </row>
    <row r="295" spans="4:13" ht="12.75">
      <c r="D295" s="177">
        <v>291</v>
      </c>
      <c r="E295" s="178">
        <v>41199</v>
      </c>
      <c r="F295" s="179">
        <f t="shared" si="36"/>
        <v>0.05779166666666666</v>
      </c>
      <c r="H295" s="177">
        <v>291</v>
      </c>
      <c r="I295" s="178">
        <v>41565</v>
      </c>
      <c r="J295" s="179">
        <f t="shared" si="37"/>
        <v>0.054625</v>
      </c>
      <c r="L295" s="178"/>
      <c r="M295" s="179"/>
    </row>
    <row r="296" spans="4:13" ht="12.75">
      <c r="D296" s="177">
        <v>292</v>
      </c>
      <c r="E296" s="178">
        <v>41200</v>
      </c>
      <c r="F296" s="179">
        <f t="shared" si="36"/>
        <v>0.05779166666666666</v>
      </c>
      <c r="H296" s="177">
        <v>292</v>
      </c>
      <c r="I296" s="178">
        <v>41566</v>
      </c>
      <c r="J296" s="179">
        <f t="shared" si="37"/>
        <v>0.054625</v>
      </c>
      <c r="L296" s="178"/>
      <c r="M296" s="179"/>
    </row>
    <row r="297" spans="4:13" ht="12.75">
      <c r="D297" s="177">
        <v>293</v>
      </c>
      <c r="E297" s="178">
        <v>41201</v>
      </c>
      <c r="F297" s="179">
        <f t="shared" si="36"/>
        <v>0.05779166666666666</v>
      </c>
      <c r="H297" s="177">
        <v>293</v>
      </c>
      <c r="I297" s="178">
        <v>41567</v>
      </c>
      <c r="J297" s="179">
        <f t="shared" si="37"/>
        <v>0.054625</v>
      </c>
      <c r="L297" s="178"/>
      <c r="M297" s="179"/>
    </row>
    <row r="298" spans="4:13" ht="12.75">
      <c r="D298" s="177">
        <v>294</v>
      </c>
      <c r="E298" s="178">
        <v>41202</v>
      </c>
      <c r="F298" s="179">
        <f t="shared" si="36"/>
        <v>0.05779166666666666</v>
      </c>
      <c r="H298" s="177">
        <v>294</v>
      </c>
      <c r="I298" s="178">
        <v>41568</v>
      </c>
      <c r="J298" s="179">
        <f>J$268+J$4/H$4/100</f>
        <v>0.057499999999999996</v>
      </c>
      <c r="L298" s="178"/>
      <c r="M298" s="179"/>
    </row>
    <row r="299" spans="4:13" ht="12.75">
      <c r="D299" s="177">
        <v>295</v>
      </c>
      <c r="E299" s="178">
        <v>41203</v>
      </c>
      <c r="F299" s="179">
        <f>F$269+F$4/D$4/100</f>
        <v>0.06083333333333332</v>
      </c>
      <c r="H299" s="177">
        <v>295</v>
      </c>
      <c r="I299" s="178">
        <v>41569</v>
      </c>
      <c r="J299" s="179">
        <f aca="true" t="shared" si="38" ref="J299:J308">J$268+J$4/H$4/100</f>
        <v>0.057499999999999996</v>
      </c>
      <c r="L299" s="178"/>
      <c r="M299" s="179"/>
    </row>
    <row r="300" spans="4:13" ht="12.75">
      <c r="D300" s="177">
        <v>296</v>
      </c>
      <c r="E300" s="178">
        <v>41204</v>
      </c>
      <c r="F300" s="179">
        <f aca="true" t="shared" si="39" ref="F300:F309">F$269+F$4/D$4/100</f>
        <v>0.06083333333333332</v>
      </c>
      <c r="H300" s="177">
        <v>296</v>
      </c>
      <c r="I300" s="178">
        <v>41570</v>
      </c>
      <c r="J300" s="179">
        <f t="shared" si="38"/>
        <v>0.057499999999999996</v>
      </c>
      <c r="L300" s="178"/>
      <c r="M300" s="179"/>
    </row>
    <row r="301" spans="4:13" ht="12.75">
      <c r="D301" s="177">
        <v>297</v>
      </c>
      <c r="E301" s="178">
        <v>41205</v>
      </c>
      <c r="F301" s="179">
        <f t="shared" si="39"/>
        <v>0.06083333333333332</v>
      </c>
      <c r="H301" s="177">
        <v>297</v>
      </c>
      <c r="I301" s="178">
        <v>41571</v>
      </c>
      <c r="J301" s="179">
        <f t="shared" si="38"/>
        <v>0.057499999999999996</v>
      </c>
      <c r="L301" s="178"/>
      <c r="M301" s="179"/>
    </row>
    <row r="302" spans="4:13" ht="12.75">
      <c r="D302" s="177">
        <v>298</v>
      </c>
      <c r="E302" s="178">
        <v>41206</v>
      </c>
      <c r="F302" s="179">
        <f t="shared" si="39"/>
        <v>0.06083333333333332</v>
      </c>
      <c r="H302" s="177">
        <v>298</v>
      </c>
      <c r="I302" s="178">
        <v>41572</v>
      </c>
      <c r="J302" s="179">
        <f t="shared" si="38"/>
        <v>0.057499999999999996</v>
      </c>
      <c r="L302" s="178"/>
      <c r="M302" s="179"/>
    </row>
    <row r="303" spans="4:13" ht="12.75">
      <c r="D303" s="177">
        <v>299</v>
      </c>
      <c r="E303" s="178">
        <v>41207</v>
      </c>
      <c r="F303" s="179">
        <f t="shared" si="39"/>
        <v>0.06083333333333332</v>
      </c>
      <c r="H303" s="177">
        <v>299</v>
      </c>
      <c r="I303" s="178">
        <v>41573</v>
      </c>
      <c r="J303" s="179">
        <f t="shared" si="38"/>
        <v>0.057499999999999996</v>
      </c>
      <c r="L303" s="178"/>
      <c r="M303" s="179"/>
    </row>
    <row r="304" spans="4:13" ht="12.75">
      <c r="D304" s="177">
        <v>300</v>
      </c>
      <c r="E304" s="178">
        <v>41208</v>
      </c>
      <c r="F304" s="179">
        <f t="shared" si="39"/>
        <v>0.06083333333333332</v>
      </c>
      <c r="H304" s="177">
        <v>300</v>
      </c>
      <c r="I304" s="178">
        <v>41574</v>
      </c>
      <c r="J304" s="179">
        <f t="shared" si="38"/>
        <v>0.057499999999999996</v>
      </c>
      <c r="L304" s="178"/>
      <c r="M304" s="179"/>
    </row>
    <row r="305" spans="4:13" ht="12.75">
      <c r="D305" s="177">
        <v>301</v>
      </c>
      <c r="E305" s="178">
        <v>41209</v>
      </c>
      <c r="F305" s="179">
        <f t="shared" si="39"/>
        <v>0.06083333333333332</v>
      </c>
      <c r="H305" s="177">
        <v>301</v>
      </c>
      <c r="I305" s="178">
        <v>41575</v>
      </c>
      <c r="J305" s="179">
        <f t="shared" si="38"/>
        <v>0.057499999999999996</v>
      </c>
      <c r="L305" s="178"/>
      <c r="M305" s="179"/>
    </row>
    <row r="306" spans="4:13" ht="12.75">
      <c r="D306" s="177">
        <v>302</v>
      </c>
      <c r="E306" s="178">
        <v>41210</v>
      </c>
      <c r="F306" s="179">
        <f t="shared" si="39"/>
        <v>0.06083333333333332</v>
      </c>
      <c r="H306" s="177">
        <v>302</v>
      </c>
      <c r="I306" s="178">
        <v>41576</v>
      </c>
      <c r="J306" s="179">
        <f t="shared" si="38"/>
        <v>0.057499999999999996</v>
      </c>
      <c r="L306" s="178"/>
      <c r="M306" s="179"/>
    </row>
    <row r="307" spans="4:13" ht="12.75">
      <c r="D307" s="177">
        <v>303</v>
      </c>
      <c r="E307" s="178">
        <v>41211</v>
      </c>
      <c r="F307" s="179">
        <f t="shared" si="39"/>
        <v>0.06083333333333332</v>
      </c>
      <c r="H307" s="177">
        <v>303</v>
      </c>
      <c r="I307" s="178">
        <v>41577</v>
      </c>
      <c r="J307" s="179">
        <f t="shared" si="38"/>
        <v>0.057499999999999996</v>
      </c>
      <c r="L307" s="178"/>
      <c r="M307" s="179"/>
    </row>
    <row r="308" spans="4:13" ht="12.75">
      <c r="D308" s="177">
        <v>304</v>
      </c>
      <c r="E308" s="178">
        <v>41212</v>
      </c>
      <c r="F308" s="179">
        <f t="shared" si="39"/>
        <v>0.06083333333333332</v>
      </c>
      <c r="H308" s="177">
        <v>304</v>
      </c>
      <c r="I308" s="178">
        <v>41578</v>
      </c>
      <c r="J308" s="179">
        <f t="shared" si="38"/>
        <v>0.057499999999999996</v>
      </c>
      <c r="L308" s="178"/>
      <c r="M308" s="179"/>
    </row>
    <row r="309" spans="4:13" ht="12.75">
      <c r="D309" s="177">
        <v>305</v>
      </c>
      <c r="E309" s="178">
        <v>41213</v>
      </c>
      <c r="F309" s="179">
        <f t="shared" si="39"/>
        <v>0.06083333333333332</v>
      </c>
      <c r="H309" s="177">
        <v>305</v>
      </c>
      <c r="I309" s="178">
        <v>41579</v>
      </c>
      <c r="J309" s="179">
        <f>J$278+J$4/H$4/100</f>
        <v>0.060375</v>
      </c>
      <c r="L309" s="178"/>
      <c r="M309" s="179"/>
    </row>
    <row r="310" spans="4:13" ht="12.75">
      <c r="D310" s="177">
        <v>306</v>
      </c>
      <c r="E310" s="178">
        <v>41214</v>
      </c>
      <c r="F310" s="179">
        <f aca="true" t="shared" si="40" ref="F310:F317">F$279+F$4/D$4/100</f>
        <v>0.06387499999999999</v>
      </c>
      <c r="H310" s="177">
        <v>306</v>
      </c>
      <c r="I310" s="178">
        <v>41580</v>
      </c>
      <c r="J310" s="179">
        <f aca="true" t="shared" si="41" ref="J310:J328">J$278+J$4/H$4/100</f>
        <v>0.060375</v>
      </c>
      <c r="L310" s="178"/>
      <c r="M310" s="179"/>
    </row>
    <row r="311" spans="4:13" ht="12.75">
      <c r="D311" s="177">
        <v>307</v>
      </c>
      <c r="E311" s="178">
        <v>41215</v>
      </c>
      <c r="F311" s="179">
        <f t="shared" si="40"/>
        <v>0.06387499999999999</v>
      </c>
      <c r="H311" s="177">
        <v>307</v>
      </c>
      <c r="I311" s="178">
        <v>41581</v>
      </c>
      <c r="J311" s="179">
        <f t="shared" si="41"/>
        <v>0.060375</v>
      </c>
      <c r="L311" s="178"/>
      <c r="M311" s="179"/>
    </row>
    <row r="312" spans="4:13" ht="12.75">
      <c r="D312" s="177">
        <v>308</v>
      </c>
      <c r="E312" s="178">
        <v>41216</v>
      </c>
      <c r="F312" s="179">
        <f t="shared" si="40"/>
        <v>0.06387499999999999</v>
      </c>
      <c r="H312" s="177">
        <v>308</v>
      </c>
      <c r="I312" s="178">
        <v>41582</v>
      </c>
      <c r="J312" s="179">
        <f t="shared" si="41"/>
        <v>0.060375</v>
      </c>
      <c r="L312" s="178"/>
      <c r="M312" s="179"/>
    </row>
    <row r="313" spans="4:13" ht="12.75">
      <c r="D313" s="177">
        <v>309</v>
      </c>
      <c r="E313" s="178">
        <v>41217</v>
      </c>
      <c r="F313" s="179">
        <f t="shared" si="40"/>
        <v>0.06387499999999999</v>
      </c>
      <c r="H313" s="177">
        <v>309</v>
      </c>
      <c r="I313" s="178">
        <v>41583</v>
      </c>
      <c r="J313" s="179">
        <f t="shared" si="41"/>
        <v>0.060375</v>
      </c>
      <c r="L313" s="178"/>
      <c r="M313" s="179"/>
    </row>
    <row r="314" spans="4:13" ht="12.75">
      <c r="D314" s="177">
        <v>310</v>
      </c>
      <c r="E314" s="178">
        <v>41218</v>
      </c>
      <c r="F314" s="179">
        <f t="shared" si="40"/>
        <v>0.06387499999999999</v>
      </c>
      <c r="H314" s="177">
        <v>310</v>
      </c>
      <c r="I314" s="178">
        <v>41584</v>
      </c>
      <c r="J314" s="179">
        <f t="shared" si="41"/>
        <v>0.060375</v>
      </c>
      <c r="L314" s="178"/>
      <c r="M314" s="179"/>
    </row>
    <row r="315" spans="4:13" ht="12.75">
      <c r="D315" s="177">
        <v>311</v>
      </c>
      <c r="E315" s="178">
        <v>41219</v>
      </c>
      <c r="F315" s="179">
        <f t="shared" si="40"/>
        <v>0.06387499999999999</v>
      </c>
      <c r="H315" s="177">
        <v>311</v>
      </c>
      <c r="I315" s="178">
        <v>41585</v>
      </c>
      <c r="J315" s="179">
        <f t="shared" si="41"/>
        <v>0.060375</v>
      </c>
      <c r="L315" s="178"/>
      <c r="M315" s="179"/>
    </row>
    <row r="316" spans="4:13" ht="12.75">
      <c r="D316" s="177">
        <v>312</v>
      </c>
      <c r="E316" s="178">
        <v>41220</v>
      </c>
      <c r="F316" s="179">
        <f t="shared" si="40"/>
        <v>0.06387499999999999</v>
      </c>
      <c r="H316" s="177">
        <v>312</v>
      </c>
      <c r="I316" s="178">
        <v>41586</v>
      </c>
      <c r="J316" s="179">
        <f t="shared" si="41"/>
        <v>0.060375</v>
      </c>
      <c r="L316" s="178"/>
      <c r="M316" s="179"/>
    </row>
    <row r="317" spans="4:13" ht="12.75">
      <c r="D317" s="177">
        <v>313</v>
      </c>
      <c r="E317" s="178">
        <v>41221</v>
      </c>
      <c r="F317" s="179">
        <f t="shared" si="40"/>
        <v>0.06387499999999999</v>
      </c>
      <c r="H317" s="177">
        <v>313</v>
      </c>
      <c r="I317" s="178">
        <v>41587</v>
      </c>
      <c r="J317" s="179">
        <f t="shared" si="41"/>
        <v>0.060375</v>
      </c>
      <c r="L317" s="178"/>
      <c r="M317" s="179"/>
    </row>
    <row r="318" spans="4:13" ht="12.75">
      <c r="D318" s="177">
        <v>314</v>
      </c>
      <c r="E318" s="178">
        <v>41222</v>
      </c>
      <c r="F318" s="179">
        <f aca="true" t="shared" si="42" ref="F318:F329">F$279+F$4/D$4/100</f>
        <v>0.06387499999999999</v>
      </c>
      <c r="H318" s="177">
        <v>314</v>
      </c>
      <c r="I318" s="178">
        <v>41588</v>
      </c>
      <c r="J318" s="179">
        <f t="shared" si="41"/>
        <v>0.060375</v>
      </c>
      <c r="L318" s="178"/>
      <c r="M318" s="179"/>
    </row>
    <row r="319" spans="4:13" ht="12.75">
      <c r="D319" s="177">
        <v>315</v>
      </c>
      <c r="E319" s="178">
        <v>41223</v>
      </c>
      <c r="F319" s="179">
        <f t="shared" si="42"/>
        <v>0.06387499999999999</v>
      </c>
      <c r="H319" s="177">
        <v>315</v>
      </c>
      <c r="I319" s="178">
        <v>41589</v>
      </c>
      <c r="J319" s="179">
        <f t="shared" si="41"/>
        <v>0.060375</v>
      </c>
      <c r="L319" s="178"/>
      <c r="M319" s="179"/>
    </row>
    <row r="320" spans="4:13" ht="12.75">
      <c r="D320" s="177">
        <v>316</v>
      </c>
      <c r="E320" s="178">
        <v>41224</v>
      </c>
      <c r="F320" s="179">
        <f t="shared" si="42"/>
        <v>0.06387499999999999</v>
      </c>
      <c r="H320" s="177">
        <v>316</v>
      </c>
      <c r="I320" s="178">
        <v>41590</v>
      </c>
      <c r="J320" s="179">
        <f t="shared" si="41"/>
        <v>0.060375</v>
      </c>
      <c r="L320" s="178"/>
      <c r="M320" s="179"/>
    </row>
    <row r="321" spans="4:13" ht="12.75">
      <c r="D321" s="177">
        <v>317</v>
      </c>
      <c r="E321" s="178">
        <v>41225</v>
      </c>
      <c r="F321" s="179">
        <f t="shared" si="42"/>
        <v>0.06387499999999999</v>
      </c>
      <c r="H321" s="177">
        <v>317</v>
      </c>
      <c r="I321" s="178">
        <v>41591</v>
      </c>
      <c r="J321" s="179">
        <f t="shared" si="41"/>
        <v>0.060375</v>
      </c>
      <c r="L321" s="178"/>
      <c r="M321" s="179"/>
    </row>
    <row r="322" spans="4:13" ht="12.75">
      <c r="D322" s="177">
        <v>318</v>
      </c>
      <c r="E322" s="178">
        <v>41226</v>
      </c>
      <c r="F322" s="179">
        <f t="shared" si="42"/>
        <v>0.06387499999999999</v>
      </c>
      <c r="H322" s="177">
        <v>318</v>
      </c>
      <c r="I322" s="178">
        <v>41592</v>
      </c>
      <c r="J322" s="179">
        <f t="shared" si="41"/>
        <v>0.060375</v>
      </c>
      <c r="L322" s="178"/>
      <c r="M322" s="179"/>
    </row>
    <row r="323" spans="4:13" ht="12.75">
      <c r="D323" s="177">
        <v>319</v>
      </c>
      <c r="E323" s="178">
        <v>41227</v>
      </c>
      <c r="F323" s="179">
        <f t="shared" si="42"/>
        <v>0.06387499999999999</v>
      </c>
      <c r="H323" s="177">
        <v>319</v>
      </c>
      <c r="I323" s="178">
        <v>41593</v>
      </c>
      <c r="J323" s="179">
        <f t="shared" si="41"/>
        <v>0.060375</v>
      </c>
      <c r="L323" s="178"/>
      <c r="M323" s="179"/>
    </row>
    <row r="324" spans="4:13" ht="12.75">
      <c r="D324" s="177">
        <v>320</v>
      </c>
      <c r="E324" s="178">
        <v>41228</v>
      </c>
      <c r="F324" s="179">
        <f t="shared" si="42"/>
        <v>0.06387499999999999</v>
      </c>
      <c r="H324" s="177">
        <v>320</v>
      </c>
      <c r="I324" s="178">
        <v>41594</v>
      </c>
      <c r="J324" s="179">
        <f t="shared" si="41"/>
        <v>0.060375</v>
      </c>
      <c r="L324" s="178"/>
      <c r="M324" s="179"/>
    </row>
    <row r="325" spans="4:13" ht="12.75">
      <c r="D325" s="177">
        <v>321</v>
      </c>
      <c r="E325" s="178">
        <v>41229</v>
      </c>
      <c r="F325" s="179">
        <f t="shared" si="42"/>
        <v>0.06387499999999999</v>
      </c>
      <c r="H325" s="177">
        <v>321</v>
      </c>
      <c r="I325" s="178">
        <v>41595</v>
      </c>
      <c r="J325" s="179">
        <f t="shared" si="41"/>
        <v>0.060375</v>
      </c>
      <c r="L325" s="178"/>
      <c r="M325" s="179"/>
    </row>
    <row r="326" spans="4:13" ht="12.75">
      <c r="D326" s="177">
        <v>322</v>
      </c>
      <c r="E326" s="178">
        <v>41230</v>
      </c>
      <c r="F326" s="179">
        <f t="shared" si="42"/>
        <v>0.06387499999999999</v>
      </c>
      <c r="H326" s="177">
        <v>322</v>
      </c>
      <c r="I326" s="178">
        <v>41596</v>
      </c>
      <c r="J326" s="179">
        <f t="shared" si="41"/>
        <v>0.060375</v>
      </c>
      <c r="L326" s="178"/>
      <c r="M326" s="179"/>
    </row>
    <row r="327" spans="4:13" ht="12.75">
      <c r="D327" s="177">
        <v>323</v>
      </c>
      <c r="E327" s="178">
        <v>41231</v>
      </c>
      <c r="F327" s="179">
        <f t="shared" si="42"/>
        <v>0.06387499999999999</v>
      </c>
      <c r="H327" s="177">
        <v>323</v>
      </c>
      <c r="I327" s="178">
        <v>41597</v>
      </c>
      <c r="J327" s="179">
        <f t="shared" si="41"/>
        <v>0.060375</v>
      </c>
      <c r="L327" s="178"/>
      <c r="M327" s="179"/>
    </row>
    <row r="328" spans="4:13" ht="12.75">
      <c r="D328" s="177">
        <v>324</v>
      </c>
      <c r="E328" s="178">
        <v>41232</v>
      </c>
      <c r="F328" s="179">
        <f t="shared" si="42"/>
        <v>0.06387499999999999</v>
      </c>
      <c r="H328" s="177">
        <v>324</v>
      </c>
      <c r="I328" s="178">
        <v>41598</v>
      </c>
      <c r="J328" s="179">
        <f t="shared" si="41"/>
        <v>0.060375</v>
      </c>
      <c r="L328" s="178"/>
      <c r="M328" s="179"/>
    </row>
    <row r="329" spans="4:13" ht="12.75">
      <c r="D329" s="177">
        <v>325</v>
      </c>
      <c r="E329" s="178">
        <v>41233</v>
      </c>
      <c r="F329" s="179">
        <f t="shared" si="42"/>
        <v>0.06387499999999999</v>
      </c>
      <c r="H329" s="177">
        <v>325</v>
      </c>
      <c r="I329" s="178">
        <v>41599</v>
      </c>
      <c r="J329" s="179">
        <f>J$298+J$4/H$4/100</f>
        <v>0.06325</v>
      </c>
      <c r="L329" s="178"/>
      <c r="M329" s="179"/>
    </row>
    <row r="330" spans="4:13" ht="12.75">
      <c r="D330" s="177">
        <v>326</v>
      </c>
      <c r="E330" s="178">
        <v>41234</v>
      </c>
      <c r="F330" s="179">
        <f>F$299+F$4/D$4/100</f>
        <v>0.06691666666666665</v>
      </c>
      <c r="H330" s="177">
        <v>326</v>
      </c>
      <c r="I330" s="178">
        <v>41600</v>
      </c>
      <c r="J330" s="179">
        <f aca="true" t="shared" si="43" ref="J330:J338">J$298+J$4/H$4/100</f>
        <v>0.06325</v>
      </c>
      <c r="L330" s="178"/>
      <c r="M330" s="179"/>
    </row>
    <row r="331" spans="4:13" ht="12.75">
      <c r="D331" s="177">
        <v>327</v>
      </c>
      <c r="E331" s="178">
        <v>41235</v>
      </c>
      <c r="F331" s="179">
        <f aca="true" t="shared" si="44" ref="F331:F339">F$299+F$4/D$4/100</f>
        <v>0.06691666666666665</v>
      </c>
      <c r="H331" s="177">
        <v>327</v>
      </c>
      <c r="I331" s="178">
        <v>41601</v>
      </c>
      <c r="J331" s="179">
        <f t="shared" si="43"/>
        <v>0.06325</v>
      </c>
      <c r="L331" s="178"/>
      <c r="M331" s="179"/>
    </row>
    <row r="332" spans="4:13" ht="12.75">
      <c r="D332" s="177">
        <v>328</v>
      </c>
      <c r="E332" s="178">
        <v>41236</v>
      </c>
      <c r="F332" s="179">
        <f t="shared" si="44"/>
        <v>0.06691666666666665</v>
      </c>
      <c r="H332" s="177">
        <v>328</v>
      </c>
      <c r="I332" s="178">
        <v>41602</v>
      </c>
      <c r="J332" s="179">
        <f t="shared" si="43"/>
        <v>0.06325</v>
      </c>
      <c r="L332" s="178"/>
      <c r="M332" s="179"/>
    </row>
    <row r="333" spans="4:13" ht="12.75">
      <c r="D333" s="177">
        <v>329</v>
      </c>
      <c r="E333" s="178">
        <v>41237</v>
      </c>
      <c r="F333" s="179">
        <f t="shared" si="44"/>
        <v>0.06691666666666665</v>
      </c>
      <c r="H333" s="177">
        <v>329</v>
      </c>
      <c r="I333" s="178">
        <v>41603</v>
      </c>
      <c r="J333" s="179">
        <f t="shared" si="43"/>
        <v>0.06325</v>
      </c>
      <c r="L333" s="178"/>
      <c r="M333" s="179"/>
    </row>
    <row r="334" spans="4:13" ht="12.75">
      <c r="D334" s="177">
        <v>330</v>
      </c>
      <c r="E334" s="178">
        <v>41238</v>
      </c>
      <c r="F334" s="179">
        <f t="shared" si="44"/>
        <v>0.06691666666666665</v>
      </c>
      <c r="H334" s="177">
        <v>330</v>
      </c>
      <c r="I334" s="178">
        <v>41604</v>
      </c>
      <c r="J334" s="179">
        <f t="shared" si="43"/>
        <v>0.06325</v>
      </c>
      <c r="L334" s="178"/>
      <c r="M334" s="179"/>
    </row>
    <row r="335" spans="4:13" ht="12.75">
      <c r="D335" s="177">
        <v>331</v>
      </c>
      <c r="E335" s="178">
        <v>41239</v>
      </c>
      <c r="F335" s="179">
        <f t="shared" si="44"/>
        <v>0.06691666666666665</v>
      </c>
      <c r="H335" s="177">
        <v>331</v>
      </c>
      <c r="I335" s="178">
        <v>41605</v>
      </c>
      <c r="J335" s="179">
        <f t="shared" si="43"/>
        <v>0.06325</v>
      </c>
      <c r="L335" s="178"/>
      <c r="M335" s="179"/>
    </row>
    <row r="336" spans="4:13" ht="12.75">
      <c r="D336" s="177">
        <v>332</v>
      </c>
      <c r="E336" s="178">
        <v>41240</v>
      </c>
      <c r="F336" s="179">
        <f t="shared" si="44"/>
        <v>0.06691666666666665</v>
      </c>
      <c r="H336" s="177">
        <v>332</v>
      </c>
      <c r="I336" s="178">
        <v>41606</v>
      </c>
      <c r="J336" s="179">
        <f t="shared" si="43"/>
        <v>0.06325</v>
      </c>
      <c r="L336" s="178"/>
      <c r="M336" s="179"/>
    </row>
    <row r="337" spans="4:13" ht="12.75">
      <c r="D337" s="177">
        <v>333</v>
      </c>
      <c r="E337" s="178">
        <v>41241</v>
      </c>
      <c r="F337" s="179">
        <f t="shared" si="44"/>
        <v>0.06691666666666665</v>
      </c>
      <c r="H337" s="177">
        <v>333</v>
      </c>
      <c r="I337" s="178">
        <v>41607</v>
      </c>
      <c r="J337" s="179">
        <f t="shared" si="43"/>
        <v>0.06325</v>
      </c>
      <c r="L337" s="178"/>
      <c r="M337" s="179"/>
    </row>
    <row r="338" spans="4:13" ht="12.75">
      <c r="D338" s="177">
        <v>334</v>
      </c>
      <c r="E338" s="178">
        <v>41242</v>
      </c>
      <c r="F338" s="179">
        <f t="shared" si="44"/>
        <v>0.06691666666666665</v>
      </c>
      <c r="H338" s="177">
        <v>334</v>
      </c>
      <c r="I338" s="178">
        <v>41608</v>
      </c>
      <c r="J338" s="179">
        <f t="shared" si="43"/>
        <v>0.06325</v>
      </c>
      <c r="L338" s="178"/>
      <c r="M338" s="179"/>
    </row>
    <row r="339" spans="4:13" ht="12.75">
      <c r="D339" s="177">
        <v>335</v>
      </c>
      <c r="E339" s="178">
        <v>41243</v>
      </c>
      <c r="F339" s="179">
        <f t="shared" si="44"/>
        <v>0.06691666666666665</v>
      </c>
      <c r="H339" s="177">
        <v>335</v>
      </c>
      <c r="I339" s="178">
        <v>41609</v>
      </c>
      <c r="J339" s="179">
        <f>J$310+J$4/H$4/100</f>
        <v>0.066125</v>
      </c>
      <c r="L339" s="178"/>
      <c r="M339" s="179"/>
    </row>
    <row r="340" spans="4:13" ht="12.75">
      <c r="D340" s="177">
        <v>336</v>
      </c>
      <c r="E340" s="178">
        <v>41244</v>
      </c>
      <c r="F340" s="179">
        <f>F$310+F$4/D$4/100</f>
        <v>0.06995833333333332</v>
      </c>
      <c r="H340" s="177">
        <v>336</v>
      </c>
      <c r="I340" s="178">
        <v>41610</v>
      </c>
      <c r="J340" s="179">
        <f aca="true" t="shared" si="45" ref="J340:J358">J$310+J$4/H$4/100</f>
        <v>0.066125</v>
      </c>
      <c r="L340" s="178"/>
      <c r="M340" s="179"/>
    </row>
    <row r="341" spans="4:13" ht="12.75">
      <c r="D341" s="177">
        <v>337</v>
      </c>
      <c r="E341" s="178">
        <v>41245</v>
      </c>
      <c r="F341" s="179">
        <f aca="true" t="shared" si="46" ref="F341:F359">F$310+F$4/D$4/100</f>
        <v>0.06995833333333332</v>
      </c>
      <c r="H341" s="177">
        <v>337</v>
      </c>
      <c r="I341" s="178">
        <v>41611</v>
      </c>
      <c r="J341" s="179">
        <f t="shared" si="45"/>
        <v>0.066125</v>
      </c>
      <c r="L341" s="178"/>
      <c r="M341" s="179"/>
    </row>
    <row r="342" spans="4:13" ht="12.75">
      <c r="D342" s="177">
        <v>338</v>
      </c>
      <c r="E342" s="178">
        <v>41246</v>
      </c>
      <c r="F342" s="179">
        <f t="shared" si="46"/>
        <v>0.06995833333333332</v>
      </c>
      <c r="H342" s="177">
        <v>338</v>
      </c>
      <c r="I342" s="178">
        <v>41612</v>
      </c>
      <c r="J342" s="179">
        <f t="shared" si="45"/>
        <v>0.066125</v>
      </c>
      <c r="L342" s="178"/>
      <c r="M342" s="179"/>
    </row>
    <row r="343" spans="4:13" ht="12.75">
      <c r="D343" s="177">
        <v>339</v>
      </c>
      <c r="E343" s="178">
        <v>41247</v>
      </c>
      <c r="F343" s="179">
        <f t="shared" si="46"/>
        <v>0.06995833333333332</v>
      </c>
      <c r="H343" s="177">
        <v>339</v>
      </c>
      <c r="I343" s="178">
        <v>41613</v>
      </c>
      <c r="J343" s="179">
        <f t="shared" si="45"/>
        <v>0.066125</v>
      </c>
      <c r="L343" s="178"/>
      <c r="M343" s="179"/>
    </row>
    <row r="344" spans="4:13" ht="12.75">
      <c r="D344" s="177">
        <v>340</v>
      </c>
      <c r="E344" s="178">
        <v>41248</v>
      </c>
      <c r="F344" s="179">
        <f t="shared" si="46"/>
        <v>0.06995833333333332</v>
      </c>
      <c r="H344" s="177">
        <v>340</v>
      </c>
      <c r="I344" s="178">
        <v>41614</v>
      </c>
      <c r="J344" s="179">
        <f t="shared" si="45"/>
        <v>0.066125</v>
      </c>
      <c r="L344" s="178"/>
      <c r="M344" s="179"/>
    </row>
    <row r="345" spans="4:13" ht="12.75">
      <c r="D345" s="177">
        <v>341</v>
      </c>
      <c r="E345" s="178">
        <v>41249</v>
      </c>
      <c r="F345" s="179">
        <f t="shared" si="46"/>
        <v>0.06995833333333332</v>
      </c>
      <c r="H345" s="177">
        <v>341</v>
      </c>
      <c r="I345" s="178">
        <v>41615</v>
      </c>
      <c r="J345" s="179">
        <f t="shared" si="45"/>
        <v>0.066125</v>
      </c>
      <c r="L345" s="178"/>
      <c r="M345" s="179"/>
    </row>
    <row r="346" spans="4:13" ht="12.75">
      <c r="D346" s="177">
        <v>342</v>
      </c>
      <c r="E346" s="178">
        <v>41250</v>
      </c>
      <c r="F346" s="179">
        <f t="shared" si="46"/>
        <v>0.06995833333333332</v>
      </c>
      <c r="H346" s="177">
        <v>342</v>
      </c>
      <c r="I346" s="178">
        <v>41616</v>
      </c>
      <c r="J346" s="179">
        <f t="shared" si="45"/>
        <v>0.066125</v>
      </c>
      <c r="L346" s="178"/>
      <c r="M346" s="179"/>
    </row>
    <row r="347" spans="4:13" ht="12.75">
      <c r="D347" s="177">
        <v>343</v>
      </c>
      <c r="E347" s="178">
        <v>41251</v>
      </c>
      <c r="F347" s="179">
        <f t="shared" si="46"/>
        <v>0.06995833333333332</v>
      </c>
      <c r="H347" s="177">
        <v>343</v>
      </c>
      <c r="I347" s="178">
        <v>41617</v>
      </c>
      <c r="J347" s="179">
        <f t="shared" si="45"/>
        <v>0.066125</v>
      </c>
      <c r="L347" s="178"/>
      <c r="M347" s="179"/>
    </row>
    <row r="348" spans="4:13" ht="12.75">
      <c r="D348" s="177">
        <v>344</v>
      </c>
      <c r="E348" s="178">
        <v>41252</v>
      </c>
      <c r="F348" s="179">
        <f t="shared" si="46"/>
        <v>0.06995833333333332</v>
      </c>
      <c r="H348" s="177">
        <v>344</v>
      </c>
      <c r="I348" s="178">
        <v>41618</v>
      </c>
      <c r="J348" s="179">
        <f t="shared" si="45"/>
        <v>0.066125</v>
      </c>
      <c r="L348" s="178"/>
      <c r="M348" s="179"/>
    </row>
    <row r="349" spans="4:13" ht="12.75">
      <c r="D349" s="177">
        <v>345</v>
      </c>
      <c r="E349" s="178">
        <v>41253</v>
      </c>
      <c r="F349" s="179">
        <f t="shared" si="46"/>
        <v>0.06995833333333332</v>
      </c>
      <c r="H349" s="177">
        <v>345</v>
      </c>
      <c r="I349" s="178">
        <v>41619</v>
      </c>
      <c r="J349" s="179">
        <f t="shared" si="45"/>
        <v>0.066125</v>
      </c>
      <c r="L349" s="178"/>
      <c r="M349" s="179"/>
    </row>
    <row r="350" spans="4:13" ht="12.75">
      <c r="D350" s="177">
        <v>346</v>
      </c>
      <c r="E350" s="178">
        <v>41254</v>
      </c>
      <c r="F350" s="179">
        <f t="shared" si="46"/>
        <v>0.06995833333333332</v>
      </c>
      <c r="H350" s="177">
        <v>346</v>
      </c>
      <c r="I350" s="178">
        <v>41620</v>
      </c>
      <c r="J350" s="179">
        <f t="shared" si="45"/>
        <v>0.066125</v>
      </c>
      <c r="L350" s="178"/>
      <c r="M350" s="179"/>
    </row>
    <row r="351" spans="4:13" ht="12.75">
      <c r="D351" s="177">
        <v>347</v>
      </c>
      <c r="E351" s="178">
        <v>41255</v>
      </c>
      <c r="F351" s="179">
        <f t="shared" si="46"/>
        <v>0.06995833333333332</v>
      </c>
      <c r="H351" s="177">
        <v>347</v>
      </c>
      <c r="I351" s="178">
        <v>41621</v>
      </c>
      <c r="J351" s="179">
        <f t="shared" si="45"/>
        <v>0.066125</v>
      </c>
      <c r="L351" s="178"/>
      <c r="M351" s="179"/>
    </row>
    <row r="352" spans="4:13" ht="12.75">
      <c r="D352" s="177">
        <v>348</v>
      </c>
      <c r="E352" s="178">
        <v>41256</v>
      </c>
      <c r="F352" s="179">
        <f t="shared" si="46"/>
        <v>0.06995833333333332</v>
      </c>
      <c r="H352" s="177">
        <v>348</v>
      </c>
      <c r="I352" s="178">
        <v>41622</v>
      </c>
      <c r="J352" s="179">
        <f t="shared" si="45"/>
        <v>0.066125</v>
      </c>
      <c r="L352" s="178"/>
      <c r="M352" s="179"/>
    </row>
    <row r="353" spans="4:13" ht="12.75">
      <c r="D353" s="177">
        <v>349</v>
      </c>
      <c r="E353" s="178">
        <v>41257</v>
      </c>
      <c r="F353" s="179">
        <f t="shared" si="46"/>
        <v>0.06995833333333332</v>
      </c>
      <c r="H353" s="177">
        <v>349</v>
      </c>
      <c r="I353" s="178">
        <v>41623</v>
      </c>
      <c r="J353" s="179">
        <f t="shared" si="45"/>
        <v>0.066125</v>
      </c>
      <c r="L353" s="178"/>
      <c r="M353" s="179"/>
    </row>
    <row r="354" spans="4:13" ht="12.75">
      <c r="D354" s="177">
        <v>350</v>
      </c>
      <c r="E354" s="178">
        <v>41258</v>
      </c>
      <c r="F354" s="179">
        <f t="shared" si="46"/>
        <v>0.06995833333333332</v>
      </c>
      <c r="H354" s="177">
        <v>350</v>
      </c>
      <c r="I354" s="178">
        <v>41624</v>
      </c>
      <c r="J354" s="179">
        <f t="shared" si="45"/>
        <v>0.066125</v>
      </c>
      <c r="L354" s="178"/>
      <c r="M354" s="179"/>
    </row>
    <row r="355" spans="4:13" ht="12.75">
      <c r="D355" s="177">
        <v>351</v>
      </c>
      <c r="E355" s="178">
        <v>41259</v>
      </c>
      <c r="F355" s="179">
        <f t="shared" si="46"/>
        <v>0.06995833333333332</v>
      </c>
      <c r="H355" s="177">
        <v>351</v>
      </c>
      <c r="I355" s="178">
        <v>41625</v>
      </c>
      <c r="J355" s="179">
        <f t="shared" si="45"/>
        <v>0.066125</v>
      </c>
      <c r="L355" s="178"/>
      <c r="M355" s="179"/>
    </row>
    <row r="356" spans="4:13" ht="12.75">
      <c r="D356" s="177">
        <v>352</v>
      </c>
      <c r="E356" s="178">
        <v>41260</v>
      </c>
      <c r="F356" s="179">
        <f t="shared" si="46"/>
        <v>0.06995833333333332</v>
      </c>
      <c r="H356" s="177">
        <v>352</v>
      </c>
      <c r="I356" s="178">
        <v>41626</v>
      </c>
      <c r="J356" s="179">
        <f t="shared" si="45"/>
        <v>0.066125</v>
      </c>
      <c r="L356" s="178"/>
      <c r="M356" s="179"/>
    </row>
    <row r="357" spans="4:13" ht="12.75">
      <c r="D357" s="177">
        <v>353</v>
      </c>
      <c r="E357" s="178">
        <v>41261</v>
      </c>
      <c r="F357" s="179">
        <f t="shared" si="46"/>
        <v>0.06995833333333332</v>
      </c>
      <c r="H357" s="177">
        <v>353</v>
      </c>
      <c r="I357" s="178">
        <v>41627</v>
      </c>
      <c r="J357" s="179">
        <f t="shared" si="45"/>
        <v>0.066125</v>
      </c>
      <c r="L357" s="178"/>
      <c r="M357" s="179"/>
    </row>
    <row r="358" spans="4:13" ht="12.75">
      <c r="D358" s="177">
        <v>354</v>
      </c>
      <c r="E358" s="178">
        <v>41262</v>
      </c>
      <c r="F358" s="179">
        <f t="shared" si="46"/>
        <v>0.06995833333333332</v>
      </c>
      <c r="H358" s="177">
        <v>354</v>
      </c>
      <c r="I358" s="178">
        <v>41628</v>
      </c>
      <c r="J358" s="179">
        <f t="shared" si="45"/>
        <v>0.066125</v>
      </c>
      <c r="L358" s="178"/>
      <c r="M358" s="179"/>
    </row>
    <row r="359" spans="4:13" ht="12.75">
      <c r="D359" s="177">
        <v>355</v>
      </c>
      <c r="E359" s="178">
        <v>41263</v>
      </c>
      <c r="F359" s="179">
        <f t="shared" si="46"/>
        <v>0.06995833333333332</v>
      </c>
      <c r="H359" s="177">
        <v>355</v>
      </c>
      <c r="I359" s="178">
        <v>41629</v>
      </c>
      <c r="J359" s="179">
        <f>J$329+J$4/H$4/100</f>
        <v>0.069</v>
      </c>
      <c r="L359" s="178"/>
      <c r="M359" s="179"/>
    </row>
    <row r="360" spans="4:13" ht="12.75">
      <c r="D360" s="177">
        <v>356</v>
      </c>
      <c r="E360" s="178">
        <v>41264</v>
      </c>
      <c r="F360" s="179">
        <f>F$330+F$4/D$4/100</f>
        <v>0.07299999999999998</v>
      </c>
      <c r="H360" s="177">
        <v>356</v>
      </c>
      <c r="I360" s="178">
        <v>41630</v>
      </c>
      <c r="J360" s="179">
        <f aca="true" t="shared" si="47" ref="J360:J369">J$329+J$4/H$4/100</f>
        <v>0.069</v>
      </c>
      <c r="L360" s="178"/>
      <c r="M360" s="179"/>
    </row>
    <row r="361" spans="4:13" ht="12.75">
      <c r="D361" s="177">
        <v>357</v>
      </c>
      <c r="E361" s="178">
        <v>41265</v>
      </c>
      <c r="F361" s="179">
        <f aca="true" t="shared" si="48" ref="F361:F370">F$330+F$4/D$4/100</f>
        <v>0.07299999999999998</v>
      </c>
      <c r="H361" s="177">
        <v>357</v>
      </c>
      <c r="I361" s="178">
        <v>41631</v>
      </c>
      <c r="J361" s="179">
        <f t="shared" si="47"/>
        <v>0.069</v>
      </c>
      <c r="L361" s="178"/>
      <c r="M361" s="179"/>
    </row>
    <row r="362" spans="4:13" ht="12.75">
      <c r="D362" s="177">
        <v>358</v>
      </c>
      <c r="E362" s="178">
        <v>41266</v>
      </c>
      <c r="F362" s="179">
        <f t="shared" si="48"/>
        <v>0.07299999999999998</v>
      </c>
      <c r="H362" s="177">
        <v>358</v>
      </c>
      <c r="I362" s="178">
        <v>41632</v>
      </c>
      <c r="J362" s="179">
        <f t="shared" si="47"/>
        <v>0.069</v>
      </c>
      <c r="L362" s="178"/>
      <c r="M362" s="179"/>
    </row>
    <row r="363" spans="4:13" ht="12.75">
      <c r="D363" s="177">
        <v>359</v>
      </c>
      <c r="E363" s="178">
        <v>41267</v>
      </c>
      <c r="F363" s="179">
        <f t="shared" si="48"/>
        <v>0.07299999999999998</v>
      </c>
      <c r="H363" s="177">
        <v>359</v>
      </c>
      <c r="I363" s="178">
        <v>41633</v>
      </c>
      <c r="J363" s="179">
        <f t="shared" si="47"/>
        <v>0.069</v>
      </c>
      <c r="L363" s="178"/>
      <c r="M363" s="179"/>
    </row>
    <row r="364" spans="4:13" ht="12.75">
      <c r="D364" s="177">
        <v>360</v>
      </c>
      <c r="E364" s="178">
        <v>41268</v>
      </c>
      <c r="F364" s="179">
        <f t="shared" si="48"/>
        <v>0.07299999999999998</v>
      </c>
      <c r="H364" s="177">
        <v>360</v>
      </c>
      <c r="I364" s="178">
        <v>41634</v>
      </c>
      <c r="J364" s="179">
        <f t="shared" si="47"/>
        <v>0.069</v>
      </c>
      <c r="L364" s="178"/>
      <c r="M364" s="179"/>
    </row>
    <row r="365" spans="4:13" ht="12.75">
      <c r="D365" s="177">
        <v>361</v>
      </c>
      <c r="E365" s="178">
        <v>41269</v>
      </c>
      <c r="F365" s="179">
        <f t="shared" si="48"/>
        <v>0.07299999999999998</v>
      </c>
      <c r="H365" s="177">
        <v>361</v>
      </c>
      <c r="I365" s="178">
        <v>41635</v>
      </c>
      <c r="J365" s="179">
        <f t="shared" si="47"/>
        <v>0.069</v>
      </c>
      <c r="L365" s="178"/>
      <c r="M365" s="179"/>
    </row>
    <row r="366" spans="4:13" ht="12.75">
      <c r="D366" s="177">
        <v>362</v>
      </c>
      <c r="E366" s="178">
        <v>41270</v>
      </c>
      <c r="F366" s="179">
        <f t="shared" si="48"/>
        <v>0.07299999999999998</v>
      </c>
      <c r="H366" s="177">
        <v>362</v>
      </c>
      <c r="I366" s="178">
        <v>41636</v>
      </c>
      <c r="J366" s="179">
        <f t="shared" si="47"/>
        <v>0.069</v>
      </c>
      <c r="L366" s="178"/>
      <c r="M366" s="179"/>
    </row>
    <row r="367" spans="4:13" ht="12.75">
      <c r="D367" s="177">
        <v>363</v>
      </c>
      <c r="E367" s="178">
        <v>41271</v>
      </c>
      <c r="F367" s="179">
        <f t="shared" si="48"/>
        <v>0.07299999999999998</v>
      </c>
      <c r="H367" s="177">
        <v>363</v>
      </c>
      <c r="I367" s="178">
        <v>41637</v>
      </c>
      <c r="J367" s="179">
        <f t="shared" si="47"/>
        <v>0.069</v>
      </c>
      <c r="L367" s="178"/>
      <c r="M367" s="179"/>
    </row>
    <row r="368" spans="4:13" ht="12.75">
      <c r="D368" s="177">
        <v>364</v>
      </c>
      <c r="E368" s="178">
        <v>41272</v>
      </c>
      <c r="F368" s="179">
        <f t="shared" si="48"/>
        <v>0.07299999999999998</v>
      </c>
      <c r="H368" s="177">
        <v>364</v>
      </c>
      <c r="I368" s="178">
        <v>41638</v>
      </c>
      <c r="J368" s="179">
        <f t="shared" si="47"/>
        <v>0.069</v>
      </c>
      <c r="L368" s="178"/>
      <c r="M368" s="179"/>
    </row>
    <row r="369" spans="4:13" ht="12.75">
      <c r="D369" s="177">
        <v>365</v>
      </c>
      <c r="E369" s="178">
        <v>41273</v>
      </c>
      <c r="F369" s="179">
        <f t="shared" si="48"/>
        <v>0.07299999999999998</v>
      </c>
      <c r="H369" s="177">
        <v>365</v>
      </c>
      <c r="I369" s="178">
        <v>41639</v>
      </c>
      <c r="J369" s="179">
        <f t="shared" si="47"/>
        <v>0.069</v>
      </c>
      <c r="L369" s="178"/>
      <c r="M369" s="179"/>
    </row>
    <row r="370" spans="4:6" ht="12.75">
      <c r="D370" s="177">
        <v>366</v>
      </c>
      <c r="E370" s="178">
        <v>41274</v>
      </c>
      <c r="F370" s="179">
        <f t="shared" si="48"/>
        <v>0.07299999999999998</v>
      </c>
    </row>
    <row r="371" spans="5:6" ht="12.75">
      <c r="E371" s="169"/>
      <c r="F371" s="169"/>
    </row>
    <row r="372" spans="5:6" ht="12.75">
      <c r="E372" s="169"/>
      <c r="F372" s="169"/>
    </row>
    <row r="373" spans="5:6" ht="12.75">
      <c r="E373" s="169"/>
      <c r="F373" s="169"/>
    </row>
    <row r="374" spans="5:6" ht="12.75">
      <c r="E374" s="169"/>
      <c r="F374" s="169"/>
    </row>
    <row r="375" spans="5:6" ht="12.75">
      <c r="E375" s="169"/>
      <c r="F375" s="169"/>
    </row>
    <row r="376" spans="5:6" ht="12.75">
      <c r="E376" s="169"/>
      <c r="F376" s="169"/>
    </row>
    <row r="377" spans="5:6" ht="12.75">
      <c r="E377" s="169"/>
      <c r="F377" s="169"/>
    </row>
    <row r="378" spans="5:6" ht="12.75">
      <c r="E378" s="169"/>
      <c r="F378" s="169"/>
    </row>
    <row r="379" spans="5:6" ht="12.75">
      <c r="E379" s="169"/>
      <c r="F379" s="169"/>
    </row>
    <row r="380" spans="5:6" ht="12.75">
      <c r="E380" s="169"/>
      <c r="F380" s="169"/>
    </row>
    <row r="381" spans="5:6" ht="12.75">
      <c r="E381" s="169"/>
      <c r="F381" s="169"/>
    </row>
    <row r="382" spans="5:6" ht="12.75">
      <c r="E382" s="169"/>
      <c r="F382" s="169"/>
    </row>
    <row r="383" spans="5:6" ht="12.75">
      <c r="E383" s="169"/>
      <c r="F383" s="169"/>
    </row>
    <row r="384" spans="5:6" ht="12.75">
      <c r="E384" s="169"/>
      <c r="F384" s="169"/>
    </row>
    <row r="385" spans="5:6" ht="12.75">
      <c r="E385" s="169"/>
      <c r="F385" s="169"/>
    </row>
    <row r="386" spans="5:6" ht="12.75">
      <c r="E386" s="169"/>
      <c r="F386" s="169"/>
    </row>
    <row r="387" spans="5:6" ht="12.75">
      <c r="E387" s="169"/>
      <c r="F387" s="169"/>
    </row>
    <row r="388" spans="5:6" ht="12.75">
      <c r="E388" s="169"/>
      <c r="F388" s="169"/>
    </row>
  </sheetData>
  <sheetProtection password="F647" sheet="1" objects="1" scenarios="1" selectLockedCells="1" selectUnlockedCells="1"/>
  <mergeCells count="2">
    <mergeCell ref="D1:F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2012-05-24T14:52:15Z</cp:lastPrinted>
  <dcterms:created xsi:type="dcterms:W3CDTF">2004-02-05T08:45:17Z</dcterms:created>
  <dcterms:modified xsi:type="dcterms:W3CDTF">2012-06-04T06:43:21Z</dcterms:modified>
  <cp:category/>
  <cp:version/>
  <cp:contentType/>
  <cp:contentStatus/>
</cp:coreProperties>
</file>