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85" yWindow="120" windowWidth="13245" windowHeight="7515" activeTab="0"/>
  </bookViews>
  <sheets>
    <sheet name="Форма 4" sheetId="1" r:id="rId1"/>
    <sheet name="Базовые цены за единицу без нач" sheetId="2" r:id="rId2"/>
    <sheet name="Текущие цены за единицу" sheetId="3" r:id="rId3"/>
    <sheet name="Текущие цены с учетом расхода" sheetId="4" r:id="rId4"/>
    <sheet name="Начисления" sheetId="5" r:id="rId5"/>
    <sheet name="Определители" sheetId="6" r:id="rId6"/>
    <sheet name="Текущие концовки" sheetId="7" r:id="rId7"/>
  </sheets>
  <definedNames/>
  <calcPr fullCalcOnLoad="1"/>
</workbook>
</file>

<file path=xl/sharedStrings.xml><?xml version="1.0" encoding="utf-8"?>
<sst xmlns="http://schemas.openxmlformats.org/spreadsheetml/2006/main" count="772" uniqueCount="320">
  <si>
    <t>&lt; 9 * 2 * 04-01-01 &gt;</t>
  </si>
  <si>
    <t>ПК РИК (вер.1.3.111226) тел./факс (495) 347-33-01</t>
  </si>
  <si>
    <t>Форма 4</t>
  </si>
  <si>
    <t xml:space="preserve">Стройка: </t>
  </si>
  <si>
    <t>Ремонт улично-дорожной сети Сергиевского сельского поселения Кореновского района</t>
  </si>
  <si>
    <t xml:space="preserve">Объект: </t>
  </si>
  <si>
    <t>ЛОКАЛЬНАЯ СМЕТА № 04-01-01</t>
  </si>
  <si>
    <t>(Локальный сметный расчет)</t>
  </si>
  <si>
    <t>на "Дорожная одежда"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</si>
  <si>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</si>
  <si>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</si>
  <si>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</si>
  <si>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</si>
  <si>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</si>
  <si>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поз</t>
  </si>
  <si>
    <t>Шифр и № позиции норматива</t>
  </si>
  <si>
    <t>Наименование работ и затрат, Единица измерения</t>
  </si>
  <si>
    <t>Стоим. ед., руб.</t>
  </si>
  <si>
    <t>Общая стоимость, руб.</t>
  </si>
  <si>
    <t>Затр. труда рабочих, не зан. обсл. машин, чел-ч</t>
  </si>
  <si>
    <t>всего</t>
  </si>
  <si>
    <t>экс. маш.</t>
  </si>
  <si>
    <t>оплата труда осн. раб.</t>
  </si>
  <si>
    <t>обслуж. машины</t>
  </si>
  <si>
    <t>в т.ч. опл. труда мех.</t>
  </si>
  <si>
    <t>на ед.</t>
  </si>
  <si>
    <t>1.</t>
  </si>
  <si>
    <t>Е27-06-026-01Т</t>
  </si>
  <si>
    <t>Розлив вяжущих материалов  Прил.27.3 п. 3.1 Кзтр=1,2 Кэм=1,2 (письмо Росстроя №6-541 от 07.07.05, Кзпр=1,15; Кэм=1,25; Кзпм=1,25), т</t>
  </si>
  <si>
    <t>sum</t>
  </si>
  <si>
    <t>IsZPR</t>
  </si>
  <si>
    <t>sum_b</t>
  </si>
  <si>
    <t>IsZPM</t>
  </si>
  <si>
    <t xml:space="preserve">   Начисления: Н3= 1.5, Н4= 1.5</t>
  </si>
  <si>
    <t>Зарплата рабочих</t>
  </si>
  <si>
    <t>Эксплуатация машин</t>
  </si>
  <si>
    <t>в т.ч. зарплата машинистов</t>
  </si>
  <si>
    <t>Материалы</t>
  </si>
  <si>
    <t>в т.ч. Вспомогательные материалы от стоимости материалов</t>
  </si>
  <si>
    <t>в т.ч. Вспомогательные ненормируемые материалы</t>
  </si>
  <si>
    <t>NenormMatOtZPR</t>
  </si>
  <si>
    <t>в т.ч. Ненормированная з.п. рабочих</t>
  </si>
  <si>
    <t>в т.ч. Ненормированная стоимость эксплуатации машин</t>
  </si>
  <si>
    <t>в т.ч. Ненормированная оплата механизаторов</t>
  </si>
  <si>
    <t>Накладные расходы</t>
  </si>
  <si>
    <t>Nakl</t>
  </si>
  <si>
    <t>НР от ЗПР</t>
  </si>
  <si>
    <t>Nakl_ZPR</t>
  </si>
  <si>
    <t>НР от ЗПМ</t>
  </si>
  <si>
    <t>Nakl_ZPM</t>
  </si>
  <si>
    <t>Сметная прибыль</t>
  </si>
  <si>
    <t>Plan</t>
  </si>
  <si>
    <t>СП от ЗПР</t>
  </si>
  <si>
    <t>Plan_ZPR</t>
  </si>
  <si>
    <t>СП от ЗПМ</t>
  </si>
  <si>
    <t>Plan_ZPM</t>
  </si>
  <si>
    <t>Всего с НР и СП</t>
  </si>
  <si>
    <t>2.</t>
  </si>
  <si>
    <t>Е27-01-110-01</t>
  </si>
  <si>
    <t>Доставка битума к месту работы на 27 км (т.ч. п.1.27.8)  (письмо Росстроя №6-541 от 07.07.05, Кзпр=1,15; Кэм=1,25; Кзпм=1,25), 100 т</t>
  </si>
  <si>
    <t xml:space="preserve">   Начисления: Н3= 33.75, Н4= 33.75, Н48= 27</t>
  </si>
  <si>
    <t>3.</t>
  </si>
  <si>
    <t>Е27-03-004-01Т</t>
  </si>
  <si>
    <t>Устройство выравнивающего слоя из м/з асфальтобетонной смеси тип Б с применением укладчиков асфальтобетона  Прил.27.3 п. 3.1 Кзтр=1,2 Кэм=1,2 (письмо Росстроя №6-541 от 07.07.05, Кзпр=1,15; Кэм=1,25; Кзпм=1,25), 100 т смеси</t>
  </si>
  <si>
    <t xml:space="preserve">   Начисления: Н3= 1.5, Н4= 1.5, Н5= 1.38</t>
  </si>
  <si>
    <t>4.</t>
  </si>
  <si>
    <t>5.</t>
  </si>
  <si>
    <t>6.</t>
  </si>
  <si>
    <t>Е27-06-020-01Т</t>
  </si>
  <si>
    <t>.    ИТОГО  ПО  СМЕТЕ</t>
  </si>
  <si>
    <t>СТОИМОСТЬ ОБОРУДОВАНИЯ -</t>
  </si>
  <si>
    <t>.   ЗАПАСНЫЕ ЧАСТИ -</t>
  </si>
  <si>
    <t>.   ТАРА И УПАКОВКА -</t>
  </si>
  <si>
    <t>.   ТРАНСПОРТНЫЕ РАСХОДЫ -</t>
  </si>
  <si>
    <t>.   КОМПЛЕКТАЦИЯ -</t>
  </si>
  <si>
    <t>.   НАЦЕНКА СНАБА -</t>
  </si>
  <si>
    <t>.   ЗАГОТОВИТЕЛЬНО-СКЛАДСКИЕ РАСХОДЫ -</t>
  </si>
  <si>
    <t>. ШЕФМОНТАЖ ПО ОБОРУДОВАНИЮ -</t>
  </si>
  <si>
    <t>. ШЕФМОНТАЖ -</t>
  </si>
  <si>
    <t>ВСЕГО, СТОИМОСТЬ ОБОРУДОВАНИЯ -</t>
  </si>
  <si>
    <t>СТОИМОСТЬ МОНТАЖНЫХ РАБОТ -</t>
  </si>
  <si>
    <t>.     В ТОМ ЧИСЛЕ:</t>
  </si>
  <si>
    <t>. ОТКЛОНЕНИЕ ПО ЗАРАБОТНОЙ ПЛАТЕ -</t>
  </si>
  <si>
    <t>. КОСВЕННЫЕ РАСХОДЫ -</t>
  </si>
  <si>
    <t>. МАТЕР.РЕСУРСЫ НЕ УЧТЕННЫЕ В РАСЦЕНКАХ -</t>
  </si>
  <si>
    <t>.   СТОИМОСТЬ ВОЗВРАЩАЕМЫХ МАТЕРИАЛОВ -</t>
  </si>
  <si>
    <t>.   НАКЛАДНЫЕ РАСХОДЫ -</t>
  </si>
  <si>
    <t>.   СМЕТНАЯ ПРИБЫЛЬ -</t>
  </si>
  <si>
    <t>ВСЕГО, СТОИМОСТЬ МОНТАЖНЫХ РАБОТ -</t>
  </si>
  <si>
    <t>СТОИМОСТЬ ОБЩЕСТРОИТЕЛЬНЫХ РАБОТ -</t>
  </si>
  <si>
    <t>.       МАТЕРИАЛОВ -</t>
  </si>
  <si>
    <t>.   НАКЛАДНЫЕ РАСХОДЫ - (%=121)</t>
  </si>
  <si>
    <t>.   СМЕТНАЯ ПРИБЫЛЬ - (%=65)</t>
  </si>
  <si>
    <t>ВСЕГО, СТОИМОСТЬ ОБЩЕСТРОИТЕЛЬНЫХ РАБОТ -</t>
  </si>
  <si>
    <t>СТОИМОСТЬ МЕТАЛЛОМОНТАЖНЫХ РАБОТ -</t>
  </si>
  <si>
    <t>ВСЕГО, СТОИМОСТЬ МЕТАЛЛОМОНТАЖНЫХ РАБОТ -</t>
  </si>
  <si>
    <t>СТОИМОСТЬ САНТЕХНИЧЕСКИХ РАБОТ -</t>
  </si>
  <si>
    <t>. СДАЧА И ИСПЫТАНИЕ -</t>
  </si>
  <si>
    <t>ВСЕГО, СТОИМОСТЬ САНТЕХНИЧЕСКИХ РАБОТ -</t>
  </si>
  <si>
    <t>СТОИМОСТЬ БУРО-ВЗРЫВНЫХ РАБОТ -</t>
  </si>
  <si>
    <t>ВСЕГО, СТОИМОСТЬ БУРО-ВЗРЫВНЫХ РАБОТ -</t>
  </si>
  <si>
    <t>СТОИМОСТЬ ГОРНОПРОХОДЧЕСКИХ РАБОТ -</t>
  </si>
  <si>
    <t>ВСЕГО, СТОИМОСТЬ ГОРНОПРОХОДЧЕСКИХ РАБОТ -</t>
  </si>
  <si>
    <t>СТОИМОСТЬ PЕСТАВPАЦИОННЫХ PАБОТ -</t>
  </si>
  <si>
    <t>. МАТЕPИАЛЫ -</t>
  </si>
  <si>
    <t>.   НАКЛАДНЫЕ PАСХОДЫ -</t>
  </si>
  <si>
    <t>ВСЕГО, СТОИМОСТЬ PЕСТАВPАЦИОННЫХ PАБОТ -</t>
  </si>
  <si>
    <t>СТОИМОСТЬ ПУСКОНАЛАДОЧНЫХ PАБОТ -</t>
  </si>
  <si>
    <t>ВСЕГО, СТОИМОСТЬ ПУСКОНАЛАДОЧНЫХ PАБОТ -</t>
  </si>
  <si>
    <t>СТОИМОСТЬ ПРОЧИХ PАБОТ (С НАКЛ. И ПЛАН.) -</t>
  </si>
  <si>
    <t>ВСЕГО, СТОИМОСТЬ ПPОЧИХ PАБОТ (С НАКЛ. И ПЛАН.) -</t>
  </si>
  <si>
    <t>ВСЕГО, СТОИМОСТЬ ПPОЧИХ PАБОТ (БЕЗ НАКЛ. И ПЛАН.) -</t>
  </si>
  <si>
    <t>. ВСЕГО  ПО  СМЕТЕ</t>
  </si>
  <si>
    <t>ВСЕГО СТОИМОСТЬ ВОЗВРАЩАЕМЫХ МАТЕРИАЛОВ -</t>
  </si>
  <si>
    <t>ВСЕГО НАКЛАДНЫЕ РАСХОДЫ</t>
  </si>
  <si>
    <t>ВСЕГО СМЕТНАЯ ПРИБЫЛЬ</t>
  </si>
  <si>
    <t>в т.ч. Вспомогательные материалы от стоим-ти материалов</t>
  </si>
  <si>
    <t>в т.ч. Вспомогательные материалы от ОЗП</t>
  </si>
  <si>
    <t>Оплата основных рабочих</t>
  </si>
  <si>
    <t>Оплата механизаторов</t>
  </si>
  <si>
    <t>Сметная заработная плата</t>
  </si>
  <si>
    <t>Трудозатраты осн. рабочих</t>
  </si>
  <si>
    <t>Трудозатраты механизаторов</t>
  </si>
  <si>
    <t>Нормативная трудоемкость</t>
  </si>
  <si>
    <t>Составил:</t>
  </si>
  <si>
    <t>(должность, подпись, Ф.И.О)</t>
  </si>
  <si>
    <t>Проверил:</t>
  </si>
  <si>
    <t>C1</t>
  </si>
  <si>
    <t>C2</t>
  </si>
  <si>
    <t>C3</t>
  </si>
  <si>
    <t>C4</t>
  </si>
  <si>
    <t>C5</t>
  </si>
  <si>
    <t>C6</t>
  </si>
  <si>
    <t>VOZVR</t>
  </si>
  <si>
    <t>C8</t>
  </si>
  <si>
    <t>C9</t>
  </si>
  <si>
    <t>C10</t>
  </si>
  <si>
    <t>C11</t>
  </si>
  <si>
    <t>C12</t>
  </si>
  <si>
    <t>NAKL</t>
  </si>
  <si>
    <t>PLAN</t>
  </si>
  <si>
    <t>NAKL_ZPR</t>
  </si>
  <si>
    <t>NAKL_ZPM</t>
  </si>
  <si>
    <t>PLAN_ZPR</t>
  </si>
  <si>
    <t>PLAN_ZPM</t>
  </si>
  <si>
    <t>RN11</t>
  </si>
  <si>
    <t>RN12</t>
  </si>
  <si>
    <t>RN13</t>
  </si>
  <si>
    <t>OBORUD_VSPOMOG</t>
  </si>
  <si>
    <t>NAKL_PN</t>
  </si>
  <si>
    <t>NAKL_VX</t>
  </si>
  <si>
    <t>PLAN_PN</t>
  </si>
  <si>
    <t>PLAN_VX</t>
  </si>
  <si>
    <t>VTCH_PN</t>
  </si>
  <si>
    <t>VTCH_VX</t>
  </si>
  <si>
    <t>MR_BY_ZPR_VSPOMOG</t>
  </si>
  <si>
    <t>N = &lt; 9 * 2 * 04-01-01 &gt;</t>
  </si>
  <si>
    <t xml:space="preserve">          "Дорожная одежда"</t>
  </si>
  <si>
    <t>Н1</t>
  </si>
  <si>
    <t>Н2</t>
  </si>
  <si>
    <t>Н3</t>
  </si>
  <si>
    <t>Н4</t>
  </si>
  <si>
    <t>Н5</t>
  </si>
  <si>
    <t>Н6</t>
  </si>
  <si>
    <t>Н7</t>
  </si>
  <si>
    <t>Н8</t>
  </si>
  <si>
    <t>Н9</t>
  </si>
  <si>
    <t>Н10</t>
  </si>
  <si>
    <t>Н11</t>
  </si>
  <si>
    <t>Н12</t>
  </si>
  <si>
    <t>Н13</t>
  </si>
  <si>
    <t>Н14</t>
  </si>
  <si>
    <t>Н15</t>
  </si>
  <si>
    <t>Н16</t>
  </si>
  <si>
    <t>Н17</t>
  </si>
  <si>
    <t>Н18</t>
  </si>
  <si>
    <t>Н19</t>
  </si>
  <si>
    <t>Н20</t>
  </si>
  <si>
    <t>Н21</t>
  </si>
  <si>
    <t>Н22</t>
  </si>
  <si>
    <t>Н23</t>
  </si>
  <si>
    <t>Н24</t>
  </si>
  <si>
    <t>Н25</t>
  </si>
  <si>
    <t>Н26</t>
  </si>
  <si>
    <t>Н27</t>
  </si>
  <si>
    <t>Н28</t>
  </si>
  <si>
    <t>Н29</t>
  </si>
  <si>
    <t>Н30</t>
  </si>
  <si>
    <t>Н31</t>
  </si>
  <si>
    <t>Н32</t>
  </si>
  <si>
    <t>Н33</t>
  </si>
  <si>
    <t>Н34</t>
  </si>
  <si>
    <t>Н35</t>
  </si>
  <si>
    <t>Н36</t>
  </si>
  <si>
    <t>Н37</t>
  </si>
  <si>
    <t>Н38</t>
  </si>
  <si>
    <t>Н39</t>
  </si>
  <si>
    <t>Н40</t>
  </si>
  <si>
    <t>Н41</t>
  </si>
  <si>
    <t>Н42</t>
  </si>
  <si>
    <t>Н43</t>
  </si>
  <si>
    <t>Н44</t>
  </si>
  <si>
    <t>Н45</t>
  </si>
  <si>
    <t>Н46</t>
  </si>
  <si>
    <t>Н47</t>
  </si>
  <si>
    <t>Н48</t>
  </si>
  <si>
    <t>Н49</t>
  </si>
  <si>
    <t>О0</t>
  </si>
  <si>
    <t>О1</t>
  </si>
  <si>
    <t>О2</t>
  </si>
  <si>
    <t>О3</t>
  </si>
  <si>
    <t>О4</t>
  </si>
  <si>
    <t>О5</t>
  </si>
  <si>
    <t>О6</t>
  </si>
  <si>
    <t>О7</t>
  </si>
  <si>
    <t>О8</t>
  </si>
  <si>
    <t>1</t>
  </si>
  <si>
    <t xml:space="preserve"> </t>
  </si>
  <si>
    <t>0</t>
  </si>
  <si>
    <t>2</t>
  </si>
  <si>
    <t>Наименование</t>
  </si>
  <si>
    <t>Вид</t>
  </si>
  <si>
    <t>Значение</t>
  </si>
  <si>
    <t>ЕИ</t>
  </si>
  <si>
    <t>Z1</t>
  </si>
  <si>
    <t>Z2</t>
  </si>
  <si>
    <t>Z3</t>
  </si>
  <si>
    <t>Z4</t>
  </si>
  <si>
    <t>Z5</t>
  </si>
  <si>
    <t>Z6</t>
  </si>
  <si>
    <t>Z7</t>
  </si>
  <si>
    <t>Z8</t>
  </si>
  <si>
    <t>А</t>
  </si>
  <si>
    <t>Б</t>
  </si>
  <si>
    <t>3</t>
  </si>
  <si>
    <t>4</t>
  </si>
  <si>
    <t>5</t>
  </si>
  <si>
    <t>6</t>
  </si>
  <si>
    <t>7</t>
  </si>
  <si>
    <t>8</t>
  </si>
  <si>
    <t>9</t>
  </si>
  <si>
    <t>!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</si>
  <si>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</si>
  <si>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</si>
  <si>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</si>
  <si>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</si>
  <si>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</si>
  <si>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</si>
  <si>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</si>
  <si>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</si>
  <si>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</si>
  <si>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</si>
  <si>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</si>
  <si>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</si>
  <si>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</si>
  <si>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</si>
  <si>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</si>
  <si>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</si>
  <si>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</si>
  <si>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</si>
  <si>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</si>
  <si>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</si>
  <si>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</si>
  <si>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</si>
  <si>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</si>
  <si>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</si>
  <si>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</si>
  <si>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</si>
  <si>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</si>
  <si>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</si>
  <si>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</si>
  <si>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</si>
  <si>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</si>
  <si>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</si>
  <si>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</si>
  <si>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</si>
  <si>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</si>
  <si>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</si>
  <si>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</si>
  <si>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</si>
  <si>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</si>
  <si>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</si>
  <si>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</si>
  <si>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</si>
  <si>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</si>
  <si>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</si>
  <si>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</si>
  <si>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</si>
  <si>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</si>
  <si>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</si>
  <si>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</si>
  <si>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</si>
  <si>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</si>
  <si>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</si>
  <si>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</si>
  <si>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</si>
  <si>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</si>
  <si>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</si>
  <si>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</si>
  <si>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</si>
  <si>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</si>
  <si>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</si>
  <si>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</si>
  <si>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</si>
  <si>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</si>
  <si>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</si>
  <si>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h</t>
  </si>
  <si>
    <t>74</t>
  </si>
  <si>
    <t>75</t>
  </si>
  <si>
    <t>76</t>
  </si>
  <si>
    <t>77</t>
  </si>
  <si>
    <t>s</t>
  </si>
  <si>
    <t>78</t>
  </si>
  <si>
    <t>79</t>
  </si>
  <si>
    <t>80</t>
  </si>
  <si>
    <t>81</t>
  </si>
  <si>
    <t>Составлена в текущих ценах на 08.2011 г.</t>
  </si>
  <si>
    <t>Количество</t>
  </si>
  <si>
    <t>Устройство покрытия толщиной 4 см из горячих асфальтобетонных смесей плотных мелкозернистых типа Б, плотность каменных материалов 2,5-2,9 т/м3  Прил.27.3 п. 3.1 Кзтр=1,2 Кэм=1,2 (письмо Росстроя №6-541 от 07.07.05, Кзпр=1,15; Кэм=1,25; Кзпм=1,25), 1000 м2</t>
  </si>
  <si>
    <t>Ремонт ул.Айвазяна от а/д ст-ца Платнировская-ст-ца Сергиевская-ст-ца Дядьковская до ул.Кирова в ст-це Сергиевской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</si>
</sst>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;\-#,##0.00;"/>
    <numFmt numFmtId="167" formatCode="#,##0.##;\-#,##0.##;#\ ##"/>
    <numFmt numFmtId="168" formatCode="#,##0.00000000;\-#,##0.00000000;"/>
    <numFmt numFmtId="169" formatCode="#,##0.00######################"/>
  </numFmts>
  <fonts count="41">
    <font>
      <sz val="8"/>
      <name val="Verdana"/>
      <family val="0"/>
    </font>
    <font>
      <sz val="8"/>
      <color indexed="8"/>
      <name val="Verdana"/>
      <family val="0"/>
    </font>
    <font>
      <b/>
      <sz val="8"/>
      <name val="Verdana"/>
      <family val="0"/>
    </font>
    <font>
      <u val="single"/>
      <sz val="8"/>
      <name val="Verdana"/>
      <family val="0"/>
    </font>
    <font>
      <i/>
      <sz val="8"/>
      <name val="Verdana"/>
      <family val="0"/>
    </font>
    <font>
      <sz val="8"/>
      <color indexed="9"/>
      <name val="Verdana"/>
      <family val="0"/>
    </font>
    <font>
      <b/>
      <u val="single"/>
      <sz val="8"/>
      <name val="Verdana"/>
      <family val="0"/>
    </font>
    <font>
      <sz val="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56"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0" fillId="0" borderId="0">
      <alignment vertical="top"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 applyProtection="1">
      <alignment/>
      <protection/>
    </xf>
    <xf numFmtId="164" fontId="0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49" fontId="0" fillId="0" borderId="10" xfId="0" applyNumberFormat="1" applyFont="1" applyBorder="1" applyAlignment="1">
      <alignment horizontal="center" vertical="center" wrapText="1"/>
    </xf>
    <xf numFmtId="165" fontId="0" fillId="0" borderId="1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left" vertical="top" wrapText="1"/>
    </xf>
    <xf numFmtId="166" fontId="3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164" fontId="0" fillId="0" borderId="12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7" fontId="6" fillId="0" borderId="0" xfId="0" applyNumberFormat="1" applyFont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 wrapText="1"/>
    </xf>
    <xf numFmtId="166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horizontal="center" vertical="center"/>
    </xf>
    <xf numFmtId="164" fontId="0" fillId="33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Alignment="1">
      <alignment horizontal="right" vertical="top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4" fontId="0" fillId="33" borderId="0" xfId="0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top"/>
    </xf>
    <xf numFmtId="164" fontId="2" fillId="0" borderId="0" xfId="0" applyNumberFormat="1" applyFont="1" applyAlignment="1">
      <alignment horizontal="right" vertical="top"/>
    </xf>
    <xf numFmtId="49" fontId="0" fillId="0" borderId="13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right" vertical="top" wrapText="1"/>
    </xf>
    <xf numFmtId="167" fontId="2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right" vertical="top" wrapText="1"/>
    </xf>
    <xf numFmtId="49" fontId="0" fillId="0" borderId="0" xfId="0" applyNumberFormat="1" applyFont="1" applyAlignment="1">
      <alignment horizontal="left" vertical="top" wrapText="1"/>
    </xf>
    <xf numFmtId="166" fontId="0" fillId="0" borderId="0" xfId="0" applyNumberFormat="1" applyFont="1" applyAlignment="1">
      <alignment horizontal="right" vertical="top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center" vertical="top"/>
    </xf>
    <xf numFmtId="49" fontId="0" fillId="0" borderId="0" xfId="0" applyNumberFormat="1" applyFont="1" applyAlignment="1">
      <alignment horizontal="left" vertical="top"/>
    </xf>
    <xf numFmtId="49" fontId="0" fillId="0" borderId="19" xfId="0" applyNumberFormat="1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right" vertical="top"/>
    </xf>
    <xf numFmtId="166" fontId="0" fillId="0" borderId="0" xfId="0" applyNumberFormat="1" applyFont="1" applyAlignment="1">
      <alignment horizontal="right" vertical="top"/>
    </xf>
    <xf numFmtId="49" fontId="2" fillId="33" borderId="0" xfId="0" applyNumberFormat="1" applyFont="1" applyFill="1" applyBorder="1" applyAlignment="1">
      <alignment horizontal="left" vertical="top"/>
    </xf>
    <xf numFmtId="16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49" fontId="2" fillId="33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Alignment="1">
      <alignment horizontal="right" vertical="top"/>
    </xf>
    <xf numFmtId="169" fontId="0" fillId="0" borderId="0" xfId="0" applyNumberFormat="1" applyFont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C0C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39"/>
  <sheetViews>
    <sheetView tabSelected="1" view="pageBreakPreview" zoomScale="98" zoomScaleSheetLayoutView="98" zoomScalePageLayoutView="0" workbookViewId="0" topLeftCell="A1">
      <selection activeCell="A5" sqref="A5:K5"/>
    </sheetView>
  </sheetViews>
  <sheetFormatPr defaultColWidth="9.140625" defaultRowHeight="10.5"/>
  <cols>
    <col min="1" max="1" width="4.140625" style="1" customWidth="1"/>
    <col min="2" max="2" width="14.00390625" style="1" customWidth="1"/>
    <col min="3" max="3" width="34.7109375" style="1" customWidth="1"/>
    <col min="4" max="4" width="16.00390625" style="1" customWidth="1"/>
    <col min="5" max="6" width="12.00390625" style="1" customWidth="1"/>
    <col min="7" max="7" width="17.7109375" style="1" customWidth="1"/>
    <col min="8" max="9" width="12.00390625" style="1" customWidth="1"/>
    <col min="10" max="10" width="9.00390625" style="1" customWidth="1"/>
    <col min="11" max="11" width="12.00390625" style="1" customWidth="1"/>
    <col min="12" max="13" width="9.140625" style="1" hidden="1" customWidth="1"/>
    <col min="14" max="14" width="9.140625" style="1" customWidth="1"/>
    <col min="15" max="15" width="9.140625" style="1" hidden="1" customWidth="1"/>
    <col min="16" max="18" width="9.140625" style="1" customWidth="1"/>
    <col min="19" max="19" width="9.140625" style="1" hidden="1" customWidth="1"/>
    <col min="20" max="16384" width="9.140625" style="1" customWidth="1"/>
  </cols>
  <sheetData>
    <row r="1" spans="1:11" ht="10.5">
      <c r="A1" s="2" t="s">
        <v>0</v>
      </c>
      <c r="D1" s="2" t="s">
        <v>1</v>
      </c>
      <c r="K1" s="3" t="s">
        <v>2</v>
      </c>
    </row>
    <row r="3" spans="2:3" ht="10.5" hidden="1">
      <c r="B3" s="4" t="s">
        <v>3</v>
      </c>
      <c r="C3" s="5" t="s">
        <v>4</v>
      </c>
    </row>
    <row r="4" spans="2:3" ht="10.5">
      <c r="B4" s="4" t="s">
        <v>5</v>
      </c>
      <c r="C4" s="5" t="s">
        <v>319</v>
      </c>
    </row>
    <row r="5" spans="1:11" ht="10.5">
      <c r="A5" s="47" t="s">
        <v>6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0.5">
      <c r="A6" s="48" t="s">
        <v>7</v>
      </c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ht="10.5">
      <c r="A7" s="48" t="s">
        <v>8</v>
      </c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8:11" ht="10.5">
      <c r="H8" s="4" t="s">
        <v>9</v>
      </c>
      <c r="I8" s="34" t="str">
        <f>TEXT((G221)/1000,"# ##0"&amp;GetSeparator()&amp;"000")</f>
        <v>1 203,781</v>
      </c>
      <c r="J8" s="34"/>
      <c r="K8" s="7" t="s">
        <v>10</v>
      </c>
    </row>
    <row r="9" spans="8:11" ht="10.5">
      <c r="H9" s="4" t="s">
        <v>11</v>
      </c>
      <c r="I9" s="34" t="str">
        <f>TEXT((K232)/1000,"# ##0"&amp;GetSeparator()&amp;"000")</f>
        <v> 0,299</v>
      </c>
      <c r="J9" s="34"/>
      <c r="K9" s="7" t="s">
        <v>12</v>
      </c>
    </row>
    <row r="10" spans="8:11" ht="10.5">
      <c r="H10" s="4" t="s">
        <v>13</v>
      </c>
      <c r="I10" s="34" t="str">
        <f>TEXT((G229)/1000,"# ##0"&amp;GetSeparator()&amp;"000")</f>
        <v> 58,338</v>
      </c>
      <c r="J10" s="34"/>
      <c r="K10" s="7" t="s">
        <v>10</v>
      </c>
    </row>
    <row r="11" spans="1:11" ht="10.5">
      <c r="A11" s="49" t="s">
        <v>316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</row>
    <row r="12" ht="4.5" customHeight="1"/>
    <row r="13" spans="1:11" ht="43.5" customHeight="1">
      <c r="A13" s="42" t="s">
        <v>14</v>
      </c>
      <c r="B13" s="42" t="s">
        <v>15</v>
      </c>
      <c r="C13" s="42" t="s">
        <v>16</v>
      </c>
      <c r="D13" s="42" t="s">
        <v>317</v>
      </c>
      <c r="E13" s="44" t="s">
        <v>17</v>
      </c>
      <c r="F13" s="46"/>
      <c r="G13" s="44" t="s">
        <v>18</v>
      </c>
      <c r="H13" s="45"/>
      <c r="I13" s="46"/>
      <c r="J13" s="44" t="s">
        <v>19</v>
      </c>
      <c r="K13" s="46"/>
    </row>
    <row r="14" spans="1:11" ht="10.5" customHeight="1">
      <c r="A14" s="50"/>
      <c r="B14" s="50"/>
      <c r="C14" s="50"/>
      <c r="D14" s="50"/>
      <c r="E14" s="8" t="s">
        <v>20</v>
      </c>
      <c r="F14" s="8" t="s">
        <v>21</v>
      </c>
      <c r="G14" s="42" t="s">
        <v>20</v>
      </c>
      <c r="H14" s="42" t="s">
        <v>22</v>
      </c>
      <c r="I14" s="8" t="s">
        <v>21</v>
      </c>
      <c r="J14" s="44" t="s">
        <v>23</v>
      </c>
      <c r="K14" s="46"/>
    </row>
    <row r="15" spans="1:11" ht="33" customHeight="1">
      <c r="A15" s="43"/>
      <c r="B15" s="43"/>
      <c r="C15" s="43"/>
      <c r="D15" s="43"/>
      <c r="E15" s="8" t="s">
        <v>22</v>
      </c>
      <c r="F15" s="8" t="s">
        <v>24</v>
      </c>
      <c r="G15" s="43"/>
      <c r="H15" s="43"/>
      <c r="I15" s="8" t="s">
        <v>24</v>
      </c>
      <c r="J15" s="8" t="s">
        <v>25</v>
      </c>
      <c r="K15" s="8" t="s">
        <v>20</v>
      </c>
    </row>
    <row r="16" spans="1:11" ht="10.5">
      <c r="A16" s="9">
        <v>1</v>
      </c>
      <c r="B16" s="9">
        <v>2</v>
      </c>
      <c r="C16" s="9">
        <v>3</v>
      </c>
      <c r="D16" s="9">
        <v>4</v>
      </c>
      <c r="E16" s="9">
        <v>5</v>
      </c>
      <c r="F16" s="9">
        <v>6</v>
      </c>
      <c r="G16" s="9">
        <v>7</v>
      </c>
      <c r="H16" s="9">
        <v>8</v>
      </c>
      <c r="I16" s="9">
        <v>9</v>
      </c>
      <c r="J16" s="9">
        <v>10</v>
      </c>
      <c r="K16" s="9">
        <v>11</v>
      </c>
    </row>
    <row r="17" ht="10.5">
      <c r="B17" s="7"/>
    </row>
    <row r="18" spans="1:15" ht="10.5">
      <c r="A18" s="39" t="s">
        <v>26</v>
      </c>
      <c r="B18" s="40" t="s">
        <v>27</v>
      </c>
      <c r="C18" s="40" t="s">
        <v>28</v>
      </c>
      <c r="D18" s="38">
        <v>0.2236</v>
      </c>
      <c r="E18" s="11">
        <f>'Текущие цены за единицу'!B6</f>
        <v>16741.37</v>
      </c>
      <c r="F18" s="11">
        <f>'Текущие цены за единицу'!D6</f>
        <v>467.56</v>
      </c>
      <c r="G18" s="41">
        <f>'Текущие цены с учетом расхода'!B6</f>
        <v>3743.37</v>
      </c>
      <c r="H18" s="41">
        <f>'Текущие цены с учетом расхода'!C6</f>
        <v>0</v>
      </c>
      <c r="I18" s="11">
        <f>'Текущие цены с учетом расхода'!D6</f>
        <v>104.55</v>
      </c>
      <c r="J18" s="13"/>
      <c r="K18" s="13">
        <f>'Текущие цены с учетом расхода'!I6</f>
        <v>0</v>
      </c>
      <c r="L18" s="1" t="s">
        <v>29</v>
      </c>
      <c r="M18" s="1" t="s">
        <v>30</v>
      </c>
      <c r="O18" s="41">
        <f>'Текущие цены с учетом расхода'!F6</f>
        <v>3638.82</v>
      </c>
    </row>
    <row r="19" spans="1:15" ht="38.25" customHeight="1">
      <c r="A19" s="38"/>
      <c r="B19" s="38"/>
      <c r="C19" s="40"/>
      <c r="D19" s="38"/>
      <c r="E19" s="12">
        <f>'Текущие цены за единицу'!C6</f>
        <v>0</v>
      </c>
      <c r="F19" s="12">
        <f>'Текущие цены за единицу'!E6</f>
        <v>193.84</v>
      </c>
      <c r="G19" s="41"/>
      <c r="H19" s="41"/>
      <c r="I19" s="12">
        <f>'Текущие цены с учетом расхода'!E6</f>
        <v>43.34</v>
      </c>
      <c r="J19" s="1">
        <v>0.99</v>
      </c>
      <c r="K19" s="1">
        <f>'Текущие цены с учетом расхода'!K6</f>
        <v>0.221364</v>
      </c>
      <c r="L19" s="1" t="s">
        <v>31</v>
      </c>
      <c r="M19" s="1" t="s">
        <v>32</v>
      </c>
      <c r="O19" s="41"/>
    </row>
    <row r="20" ht="10.5">
      <c r="C20" s="14" t="s">
        <v>33</v>
      </c>
    </row>
    <row r="21" ht="10.5" hidden="1">
      <c r="C21" s="15" t="s">
        <v>34</v>
      </c>
    </row>
    <row r="22" spans="3:7" ht="10.5" hidden="1">
      <c r="C22" s="15" t="s">
        <v>35</v>
      </c>
      <c r="G22" s="1">
        <v>104.55</v>
      </c>
    </row>
    <row r="23" spans="3:7" ht="10.5" hidden="1">
      <c r="C23" s="15" t="s">
        <v>36</v>
      </c>
      <c r="G23" s="1">
        <v>43.34</v>
      </c>
    </row>
    <row r="24" spans="3:7" ht="10.5" hidden="1">
      <c r="C24" s="15" t="s">
        <v>37</v>
      </c>
      <c r="G24" s="1">
        <v>3638.82</v>
      </c>
    </row>
    <row r="25" ht="21" hidden="1">
      <c r="C25" s="15" t="s">
        <v>38</v>
      </c>
    </row>
    <row r="26" spans="3:12" ht="21" hidden="1">
      <c r="C26" s="15" t="s">
        <v>39</v>
      </c>
      <c r="D26" s="16"/>
      <c r="L26" s="1" t="s">
        <v>40</v>
      </c>
    </row>
    <row r="27" ht="10.5" hidden="1">
      <c r="C27" s="15" t="s">
        <v>41</v>
      </c>
    </row>
    <row r="28" ht="21" hidden="1">
      <c r="C28" s="15" t="s">
        <v>42</v>
      </c>
    </row>
    <row r="29" ht="21" hidden="1">
      <c r="C29" s="15" t="s">
        <v>43</v>
      </c>
    </row>
    <row r="30" spans="3:13" ht="10.5">
      <c r="C30" s="15" t="s">
        <v>44</v>
      </c>
      <c r="D30" s="1">
        <v>121</v>
      </c>
      <c r="G30" s="12">
        <f>IF('Текущие цены с учетом расхода'!N6&gt;0,'Текущие цены с учетом расхода'!N6,IF('Текущие цены с учетом расхода'!N6&lt;0,'Текущие цены с учетом расхода'!N6,""))</f>
        <v>52.44</v>
      </c>
      <c r="M30" s="10" t="s">
        <v>45</v>
      </c>
    </row>
    <row r="31" ht="10.5" hidden="1"/>
    <row r="32" spans="3:13" ht="10.5" hidden="1">
      <c r="C32" s="15" t="s">
        <v>46</v>
      </c>
      <c r="G32" s="12">
        <f>IF('Текущие цены с учетом расхода'!P6&gt;0,'Текущие цены с учетом расхода'!P6,IF('Текущие цены с учетом расхода'!P6&lt;0,'Текущие цены с учетом расхода'!P6,""))</f>
      </c>
      <c r="M32" s="10" t="s">
        <v>47</v>
      </c>
    </row>
    <row r="33" spans="3:13" ht="10.5" hidden="1">
      <c r="C33" s="15" t="s">
        <v>48</v>
      </c>
      <c r="D33" s="1">
        <v>121</v>
      </c>
      <c r="G33" s="12">
        <f>IF('Текущие цены с учетом расхода'!Q6&gt;0,'Текущие цены с учетом расхода'!Q6,IF('Текущие цены с учетом расхода'!Q6&lt;0,'Текущие цены с учетом расхода'!Q6,""))</f>
        <v>52.44</v>
      </c>
      <c r="M33" s="10" t="s">
        <v>49</v>
      </c>
    </row>
    <row r="34" spans="3:13" ht="10.5">
      <c r="C34" s="15" t="s">
        <v>50</v>
      </c>
      <c r="D34" s="1">
        <v>65</v>
      </c>
      <c r="G34" s="12">
        <f>IF('Текущие цены с учетом расхода'!O6&gt;0,'Текущие цены с учетом расхода'!O6,IF('Текущие цены с учетом расхода'!O6&lt;0,'Текущие цены с учетом расхода'!O6,""))</f>
        <v>28.17</v>
      </c>
      <c r="M34" s="10" t="s">
        <v>51</v>
      </c>
    </row>
    <row r="35" ht="10.5" hidden="1"/>
    <row r="36" spans="3:13" ht="10.5" hidden="1">
      <c r="C36" s="15" t="s">
        <v>52</v>
      </c>
      <c r="G36" s="12">
        <f>IF('Текущие цены с учетом расхода'!R6&gt;0,'Текущие цены с учетом расхода'!R6,IF('Текущие цены с учетом расхода'!R6&lt;0,'Текущие цены с учетом расхода'!R6,""))</f>
      </c>
      <c r="M36" s="10" t="s">
        <v>53</v>
      </c>
    </row>
    <row r="37" spans="3:13" ht="10.5" hidden="1">
      <c r="C37" s="15" t="s">
        <v>54</v>
      </c>
      <c r="D37" s="1">
        <v>65</v>
      </c>
      <c r="G37" s="12">
        <f>IF('Текущие цены с учетом расхода'!S6&gt;0,'Текущие цены с учетом расхода'!S6,IF('Текущие цены с учетом расхода'!S6&lt;0,'Текущие цены с учетом расхода'!S6,""))</f>
        <v>28.17</v>
      </c>
      <c r="M37" s="10" t="s">
        <v>55</v>
      </c>
    </row>
    <row r="38" spans="3:7" ht="10.5">
      <c r="C38" s="15" t="s">
        <v>56</v>
      </c>
      <c r="G38" s="12">
        <f>ROUND(IF(G18="",0,G18)+IF(G30="",0,G30)+IF(G34="",0,G34),2)</f>
        <v>3823.98</v>
      </c>
    </row>
    <row r="39" spans="1:11" ht="10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5" ht="10.5">
      <c r="A40" s="39" t="s">
        <v>57</v>
      </c>
      <c r="B40" s="40" t="s">
        <v>58</v>
      </c>
      <c r="C40" s="40" t="s">
        <v>59</v>
      </c>
      <c r="D40" s="38">
        <v>0.00230308</v>
      </c>
      <c r="E40" s="11">
        <f>'Текущие цены за единицу'!B7</f>
        <v>67452.24</v>
      </c>
      <c r="F40" s="11">
        <f>'Текущие цены за единицу'!D7</f>
        <v>67452.24</v>
      </c>
      <c r="G40" s="41">
        <f>'Текущие цены с учетом расхода'!B7</f>
        <v>155.35</v>
      </c>
      <c r="H40" s="41">
        <f>'Текущие цены с учетом расхода'!C7</f>
        <v>0</v>
      </c>
      <c r="I40" s="11">
        <f>'Текущие цены с учетом расхода'!D7</f>
        <v>155.35</v>
      </c>
      <c r="J40" s="13"/>
      <c r="K40" s="13">
        <f>'Текущие цены с учетом расхода'!I7</f>
        <v>0</v>
      </c>
      <c r="L40" s="1" t="s">
        <v>29</v>
      </c>
      <c r="M40" s="1" t="s">
        <v>30</v>
      </c>
      <c r="O40" s="41">
        <f>'Текущие цены с учетом расхода'!F7</f>
        <v>0</v>
      </c>
    </row>
    <row r="41" spans="1:15" ht="43.5" customHeight="1">
      <c r="A41" s="38"/>
      <c r="B41" s="38"/>
      <c r="C41" s="40"/>
      <c r="D41" s="38"/>
      <c r="E41" s="12">
        <f>'Текущие цены за единицу'!C7</f>
        <v>0</v>
      </c>
      <c r="F41" s="12">
        <f>'Текущие цены за единицу'!E7</f>
        <v>25648.85</v>
      </c>
      <c r="G41" s="41"/>
      <c r="H41" s="41"/>
      <c r="I41" s="12">
        <f>'Текущие цены с учетом расхода'!E7</f>
        <v>59.07</v>
      </c>
      <c r="J41" s="1">
        <v>155.25</v>
      </c>
      <c r="K41" s="1">
        <f>'Текущие цены с учетом расхода'!K7</f>
        <v>0.3575532</v>
      </c>
      <c r="L41" s="1" t="s">
        <v>31</v>
      </c>
      <c r="M41" s="1" t="s">
        <v>32</v>
      </c>
      <c r="O41" s="41"/>
    </row>
    <row r="42" ht="10.5">
      <c r="C42" s="14" t="s">
        <v>60</v>
      </c>
    </row>
    <row r="43" ht="10.5" hidden="1">
      <c r="C43" s="15" t="s">
        <v>34</v>
      </c>
    </row>
    <row r="44" spans="3:7" ht="10.5" hidden="1">
      <c r="C44" s="15" t="s">
        <v>35</v>
      </c>
      <c r="G44" s="1">
        <v>155.35</v>
      </c>
    </row>
    <row r="45" spans="3:7" ht="10.5" hidden="1">
      <c r="C45" s="15" t="s">
        <v>36</v>
      </c>
      <c r="G45" s="1">
        <v>59.07</v>
      </c>
    </row>
    <row r="46" ht="10.5" hidden="1">
      <c r="C46" s="15" t="s">
        <v>37</v>
      </c>
    </row>
    <row r="47" ht="21" hidden="1">
      <c r="C47" s="15" t="s">
        <v>38</v>
      </c>
    </row>
    <row r="48" spans="3:12" ht="21" hidden="1">
      <c r="C48" s="15" t="s">
        <v>39</v>
      </c>
      <c r="D48" s="16"/>
      <c r="L48" s="1" t="s">
        <v>40</v>
      </c>
    </row>
    <row r="49" ht="10.5" hidden="1">
      <c r="C49" s="15" t="s">
        <v>41</v>
      </c>
    </row>
    <row r="50" ht="21" hidden="1">
      <c r="C50" s="15" t="s">
        <v>42</v>
      </c>
    </row>
    <row r="51" ht="21" hidden="1">
      <c r="C51" s="15" t="s">
        <v>43</v>
      </c>
    </row>
    <row r="52" spans="3:13" ht="10.5">
      <c r="C52" s="15" t="s">
        <v>44</v>
      </c>
      <c r="D52" s="1">
        <v>121</v>
      </c>
      <c r="G52" s="12">
        <f>IF('Текущие цены с учетом расхода'!N7&gt;0,'Текущие цены с учетом расхода'!N7,IF('Текущие цены с учетом расхода'!N7&lt;0,'Текущие цены с учетом расхода'!N7,""))</f>
        <v>71.47</v>
      </c>
      <c r="M52" s="10" t="s">
        <v>45</v>
      </c>
    </row>
    <row r="53" ht="10.5" hidden="1"/>
    <row r="54" spans="3:13" ht="10.5" hidden="1">
      <c r="C54" s="15" t="s">
        <v>46</v>
      </c>
      <c r="G54" s="12">
        <f>IF('Текущие цены с учетом расхода'!P7&gt;0,'Текущие цены с учетом расхода'!P7,IF('Текущие цены с учетом расхода'!P7&lt;0,'Текущие цены с учетом расхода'!P7,""))</f>
      </c>
      <c r="M54" s="10" t="s">
        <v>47</v>
      </c>
    </row>
    <row r="55" spans="3:13" ht="10.5" hidden="1">
      <c r="C55" s="15" t="s">
        <v>48</v>
      </c>
      <c r="D55" s="1">
        <v>121</v>
      </c>
      <c r="G55" s="12">
        <f>IF('Текущие цены с учетом расхода'!Q7&gt;0,'Текущие цены с учетом расхода'!Q7,IF('Текущие цены с учетом расхода'!Q7&lt;0,'Текущие цены с учетом расхода'!Q7,""))</f>
        <v>71.48</v>
      </c>
      <c r="M55" s="10" t="s">
        <v>49</v>
      </c>
    </row>
    <row r="56" spans="3:13" ht="10.5">
      <c r="C56" s="15" t="s">
        <v>50</v>
      </c>
      <c r="D56" s="1">
        <v>65</v>
      </c>
      <c r="G56" s="12">
        <f>IF('Текущие цены с учетом расхода'!O7&gt;0,'Текущие цены с учетом расхода'!O7,IF('Текущие цены с учетом расхода'!O7&lt;0,'Текущие цены с учетом расхода'!O7,""))</f>
        <v>38.4</v>
      </c>
      <c r="M56" s="10" t="s">
        <v>51</v>
      </c>
    </row>
    <row r="57" ht="10.5" hidden="1"/>
    <row r="58" spans="3:13" ht="10.5" hidden="1">
      <c r="C58" s="15" t="s">
        <v>52</v>
      </c>
      <c r="G58" s="12">
        <f>IF('Текущие цены с учетом расхода'!R7&gt;0,'Текущие цены с учетом расхода'!R7,IF('Текущие цены с учетом расхода'!R7&lt;0,'Текущие цены с учетом расхода'!R7,""))</f>
      </c>
      <c r="M58" s="10" t="s">
        <v>53</v>
      </c>
    </row>
    <row r="59" spans="3:13" ht="10.5" hidden="1">
      <c r="C59" s="15" t="s">
        <v>54</v>
      </c>
      <c r="D59" s="1">
        <v>65</v>
      </c>
      <c r="G59" s="12">
        <f>IF('Текущие цены с учетом расхода'!S7&gt;0,'Текущие цены с учетом расхода'!S7,IF('Текущие цены с учетом расхода'!S7&lt;0,'Текущие цены с учетом расхода'!S7,""))</f>
        <v>38.4</v>
      </c>
      <c r="M59" s="10" t="s">
        <v>55</v>
      </c>
    </row>
    <row r="60" spans="3:7" ht="10.5">
      <c r="C60" s="15" t="s">
        <v>56</v>
      </c>
      <c r="G60" s="12">
        <f>ROUND(IF(G40="",0,G40)+IF(G52="",0,G52)+IF(G56="",0,G56),2)</f>
        <v>265.22</v>
      </c>
    </row>
    <row r="61" spans="1:11" ht="10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</row>
    <row r="62" spans="1:15" ht="10.5">
      <c r="A62" s="39" t="s">
        <v>61</v>
      </c>
      <c r="B62" s="40" t="s">
        <v>62</v>
      </c>
      <c r="C62" s="40" t="s">
        <v>63</v>
      </c>
      <c r="D62" s="38">
        <v>0.864</v>
      </c>
      <c r="E62" s="11">
        <f>'Текущие цены за единицу'!B8</f>
        <v>288095.83</v>
      </c>
      <c r="F62" s="11">
        <f>'Текущие цены за единицу'!D8</f>
        <v>27227.67</v>
      </c>
      <c r="G62" s="41">
        <f>'Текущие цены с учетом расхода'!B8</f>
        <v>248914.8</v>
      </c>
      <c r="H62" s="41">
        <f>'Текущие цены с учетом расхода'!C8</f>
        <v>4458.6</v>
      </c>
      <c r="I62" s="11">
        <f>'Текущие цены с учетом расхода'!D8</f>
        <v>23524.71</v>
      </c>
      <c r="J62" s="13">
        <v>30.0426</v>
      </c>
      <c r="K62" s="13">
        <f>'Текущие цены с учетом расхода'!I8</f>
        <v>25.956806</v>
      </c>
      <c r="L62" s="1" t="s">
        <v>29</v>
      </c>
      <c r="M62" s="1" t="s">
        <v>30</v>
      </c>
      <c r="O62" s="41">
        <f>'Текущие цены с учетом расхода'!F8</f>
        <v>220931.49</v>
      </c>
    </row>
    <row r="63" spans="1:15" ht="66.75" customHeight="1">
      <c r="A63" s="38"/>
      <c r="B63" s="38"/>
      <c r="C63" s="40"/>
      <c r="D63" s="38"/>
      <c r="E63" s="12">
        <f>'Текущие цены за единицу'!C8</f>
        <v>5160.42</v>
      </c>
      <c r="F63" s="12">
        <f>'Текущие цены за единицу'!E8</f>
        <v>7656.78</v>
      </c>
      <c r="G63" s="41"/>
      <c r="H63" s="41"/>
      <c r="I63" s="12">
        <f>'Текущие цены с учетом расхода'!E8</f>
        <v>6615.46</v>
      </c>
      <c r="J63" s="1">
        <v>32.25</v>
      </c>
      <c r="K63" s="1">
        <f>'Текущие цены с учетом расхода'!K8</f>
        <v>27.864</v>
      </c>
      <c r="L63" s="1" t="s">
        <v>31</v>
      </c>
      <c r="M63" s="1" t="s">
        <v>32</v>
      </c>
      <c r="O63" s="41"/>
    </row>
    <row r="64" ht="10.5">
      <c r="C64" s="14" t="s">
        <v>64</v>
      </c>
    </row>
    <row r="65" spans="3:7" ht="10.5" hidden="1">
      <c r="C65" s="15" t="s">
        <v>34</v>
      </c>
      <c r="G65" s="1">
        <v>4458.6</v>
      </c>
    </row>
    <row r="66" spans="3:7" ht="10.5" hidden="1">
      <c r="C66" s="15" t="s">
        <v>35</v>
      </c>
      <c r="G66" s="1">
        <v>23524.7</v>
      </c>
    </row>
    <row r="67" spans="3:7" ht="10.5" hidden="1">
      <c r="C67" s="15" t="s">
        <v>36</v>
      </c>
      <c r="G67" s="1">
        <v>6615.46</v>
      </c>
    </row>
    <row r="68" spans="3:7" ht="10.5" hidden="1">
      <c r="C68" s="15" t="s">
        <v>37</v>
      </c>
      <c r="G68" s="1">
        <v>220931.48</v>
      </c>
    </row>
    <row r="69" ht="21" hidden="1">
      <c r="C69" s="15" t="s">
        <v>38</v>
      </c>
    </row>
    <row r="70" spans="3:12" ht="21" hidden="1">
      <c r="C70" s="15" t="s">
        <v>39</v>
      </c>
      <c r="D70" s="16"/>
      <c r="L70" s="1" t="s">
        <v>40</v>
      </c>
    </row>
    <row r="71" ht="10.5" hidden="1">
      <c r="C71" s="15" t="s">
        <v>41</v>
      </c>
    </row>
    <row r="72" ht="21" hidden="1">
      <c r="C72" s="15" t="s">
        <v>42</v>
      </c>
    </row>
    <row r="73" ht="21" hidden="1">
      <c r="C73" s="15" t="s">
        <v>43</v>
      </c>
    </row>
    <row r="74" spans="3:13" ht="10.5">
      <c r="C74" s="15" t="s">
        <v>44</v>
      </c>
      <c r="D74" s="1">
        <v>121</v>
      </c>
      <c r="G74" s="12">
        <f>IF('Текущие цены с учетом расхода'!N8&gt;0,'Текущие цены с учетом расхода'!N8,IF('Текущие цены с учетом расхода'!N8&lt;0,'Текущие цены с учетом расхода'!N8,""))</f>
        <v>13399.61</v>
      </c>
      <c r="M74" s="10" t="s">
        <v>45</v>
      </c>
    </row>
    <row r="75" ht="10.5" hidden="1"/>
    <row r="76" spans="3:13" ht="10.5" hidden="1">
      <c r="C76" s="15" t="s">
        <v>46</v>
      </c>
      <c r="D76" s="1">
        <v>121</v>
      </c>
      <c r="G76" s="12">
        <f>IF('Текущие цены с учетом расхода'!P8&gt;0,'Текущие цены с учетом расхода'!P8,IF('Текущие цены с учетом расхода'!P8&lt;0,'Текущие цены с учетом расхода'!P8,""))</f>
        <v>5394.91</v>
      </c>
      <c r="M76" s="10" t="s">
        <v>47</v>
      </c>
    </row>
    <row r="77" spans="3:13" ht="10.5" hidden="1">
      <c r="C77" s="15" t="s">
        <v>48</v>
      </c>
      <c r="D77" s="1">
        <v>121</v>
      </c>
      <c r="G77" s="12">
        <f>IF('Текущие цены с учетом расхода'!Q8&gt;0,'Текущие цены с учетом расхода'!Q8,IF('Текущие цены с учетом расхода'!Q8&lt;0,'Текущие цены с учетом расхода'!Q8,""))</f>
        <v>8004.7</v>
      </c>
      <c r="M77" s="10" t="s">
        <v>49</v>
      </c>
    </row>
    <row r="78" spans="3:13" ht="10.5">
      <c r="C78" s="15" t="s">
        <v>50</v>
      </c>
      <c r="D78" s="1">
        <v>65</v>
      </c>
      <c r="G78" s="12">
        <f>IF('Текущие цены с учетом расхода'!O8&gt;0,'Текущие цены с учетом расхода'!O8,IF('Текущие цены с учетом расхода'!O8&lt;0,'Текущие цены с учетом расхода'!O8,""))</f>
        <v>7198.14</v>
      </c>
      <c r="M78" s="10" t="s">
        <v>51</v>
      </c>
    </row>
    <row r="79" ht="10.5" hidden="1"/>
    <row r="80" spans="3:13" ht="10.5" hidden="1">
      <c r="C80" s="15" t="s">
        <v>52</v>
      </c>
      <c r="D80" s="1">
        <v>65</v>
      </c>
      <c r="G80" s="12">
        <f>IF('Текущие цены с учетом расхода'!R8&gt;0,'Текущие цены с учетом расхода'!R8,IF('Текущие цены с учетом расхода'!R8&lt;0,'Текущие цены с учетом расхода'!R8,""))</f>
        <v>2898.09</v>
      </c>
      <c r="M80" s="10" t="s">
        <v>53</v>
      </c>
    </row>
    <row r="81" spans="3:13" ht="10.5" hidden="1">
      <c r="C81" s="15" t="s">
        <v>54</v>
      </c>
      <c r="D81" s="1">
        <v>65</v>
      </c>
      <c r="G81" s="12">
        <f>IF('Текущие цены с учетом расхода'!S8&gt;0,'Текущие цены с учетом расхода'!S8,IF('Текущие цены с учетом расхода'!S8&lt;0,'Текущие цены с учетом расхода'!S8,""))</f>
        <v>4300.05</v>
      </c>
      <c r="M81" s="10" t="s">
        <v>55</v>
      </c>
    </row>
    <row r="82" spans="3:7" ht="10.5">
      <c r="C82" s="15" t="s">
        <v>56</v>
      </c>
      <c r="G82" s="12">
        <f>ROUND(IF(G62="",0,G62)+IF(G74="",0,G74)+IF(G78="",0,G78),2)</f>
        <v>269512.55</v>
      </c>
    </row>
    <row r="83" spans="1:11" ht="10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</row>
    <row r="84" spans="1:15" ht="10.5">
      <c r="A84" s="39" t="s">
        <v>65</v>
      </c>
      <c r="B84" s="40" t="s">
        <v>27</v>
      </c>
      <c r="C84" s="40" t="s">
        <v>28</v>
      </c>
      <c r="D84" s="38">
        <v>0.7455</v>
      </c>
      <c r="E84" s="11">
        <f>'Текущие цены за единицу'!B9</f>
        <v>16741.37</v>
      </c>
      <c r="F84" s="11">
        <f>'Текущие цены за единицу'!D9</f>
        <v>467.56</v>
      </c>
      <c r="G84" s="41">
        <f>'Текущие цены с учетом расхода'!B9</f>
        <v>12480.7</v>
      </c>
      <c r="H84" s="41">
        <f>'Текущие цены с учетом расхода'!C9</f>
        <v>0</v>
      </c>
      <c r="I84" s="11">
        <f>'Текущие цены с учетом расхода'!D9</f>
        <v>348.57</v>
      </c>
      <c r="J84" s="13"/>
      <c r="K84" s="13">
        <f>'Текущие цены с учетом расхода'!I9</f>
        <v>0</v>
      </c>
      <c r="L84" s="1" t="s">
        <v>29</v>
      </c>
      <c r="M84" s="1" t="s">
        <v>30</v>
      </c>
      <c r="O84" s="41">
        <f>'Текущие цены с учетом расхода'!F9</f>
        <v>12132.13</v>
      </c>
    </row>
    <row r="85" spans="1:15" ht="36.75" customHeight="1">
      <c r="A85" s="38"/>
      <c r="B85" s="38"/>
      <c r="C85" s="40"/>
      <c r="D85" s="38"/>
      <c r="E85" s="12">
        <f>'Текущие цены за единицу'!C9</f>
        <v>0</v>
      </c>
      <c r="F85" s="12">
        <f>'Текущие цены за единицу'!E9</f>
        <v>193.84</v>
      </c>
      <c r="G85" s="41"/>
      <c r="H85" s="41"/>
      <c r="I85" s="12">
        <f>'Текущие цены с учетом расхода'!E9</f>
        <v>144.51</v>
      </c>
      <c r="J85" s="1">
        <v>0.99</v>
      </c>
      <c r="K85" s="1">
        <f>'Текущие цены с учетом расхода'!K9</f>
        <v>0.738045</v>
      </c>
      <c r="L85" s="1" t="s">
        <v>31</v>
      </c>
      <c r="M85" s="1" t="s">
        <v>32</v>
      </c>
      <c r="O85" s="41"/>
    </row>
    <row r="86" ht="10.5">
      <c r="C86" s="14" t="s">
        <v>33</v>
      </c>
    </row>
    <row r="87" ht="10.5" hidden="1">
      <c r="C87" s="15" t="s">
        <v>34</v>
      </c>
    </row>
    <row r="88" spans="3:7" ht="10.5" hidden="1">
      <c r="C88" s="15" t="s">
        <v>35</v>
      </c>
      <c r="G88" s="1">
        <v>348.57</v>
      </c>
    </row>
    <row r="89" spans="3:7" ht="10.5" hidden="1">
      <c r="C89" s="15" t="s">
        <v>36</v>
      </c>
      <c r="G89" s="1">
        <v>144.51</v>
      </c>
    </row>
    <row r="90" spans="3:7" ht="10.5" hidden="1">
      <c r="C90" s="15" t="s">
        <v>37</v>
      </c>
      <c r="G90" s="1">
        <v>12132.13</v>
      </c>
    </row>
    <row r="91" ht="21" hidden="1">
      <c r="C91" s="15" t="s">
        <v>38</v>
      </c>
    </row>
    <row r="92" spans="3:12" ht="21" hidden="1">
      <c r="C92" s="15" t="s">
        <v>39</v>
      </c>
      <c r="D92" s="16"/>
      <c r="L92" s="1" t="s">
        <v>40</v>
      </c>
    </row>
    <row r="93" ht="10.5" hidden="1">
      <c r="C93" s="15" t="s">
        <v>41</v>
      </c>
    </row>
    <row r="94" ht="21" hidden="1">
      <c r="C94" s="15" t="s">
        <v>42</v>
      </c>
    </row>
    <row r="95" ht="21" hidden="1">
      <c r="C95" s="15" t="s">
        <v>43</v>
      </c>
    </row>
    <row r="96" spans="3:13" ht="10.5">
      <c r="C96" s="15" t="s">
        <v>44</v>
      </c>
      <c r="D96" s="1">
        <v>121</v>
      </c>
      <c r="G96" s="12">
        <f>IF('Текущие цены с учетом расхода'!N9&gt;0,'Текущие цены с учетом расхода'!N9,IF('Текущие цены с учетом расхода'!N9&lt;0,'Текущие цены с учетом расхода'!N9,""))</f>
        <v>174.86</v>
      </c>
      <c r="M96" s="10" t="s">
        <v>45</v>
      </c>
    </row>
    <row r="97" ht="10.5" hidden="1"/>
    <row r="98" spans="3:13" ht="10.5" hidden="1">
      <c r="C98" s="15" t="s">
        <v>46</v>
      </c>
      <c r="G98" s="12">
        <f>IF('Текущие цены с учетом расхода'!P9&gt;0,'Текущие цены с учетом расхода'!P9,IF('Текущие цены с учетом расхода'!P9&lt;0,'Текущие цены с учетом расхода'!P9,""))</f>
      </c>
      <c r="M98" s="10" t="s">
        <v>47</v>
      </c>
    </row>
    <row r="99" spans="3:13" ht="10.5" hidden="1">
      <c r="C99" s="15" t="s">
        <v>48</v>
      </c>
      <c r="D99" s="1">
        <v>121</v>
      </c>
      <c r="G99" s="12">
        <f>IF('Текущие цены с учетом расхода'!Q9&gt;0,'Текущие цены с учетом расхода'!Q9,IF('Текущие цены с учетом расхода'!Q9&lt;0,'Текущие цены с учетом расхода'!Q9,""))</f>
        <v>174.85</v>
      </c>
      <c r="M99" s="10" t="s">
        <v>49</v>
      </c>
    </row>
    <row r="100" spans="3:13" ht="10.5">
      <c r="C100" s="15" t="s">
        <v>50</v>
      </c>
      <c r="D100" s="1">
        <v>65</v>
      </c>
      <c r="G100" s="12">
        <f>IF('Текущие цены с учетом расхода'!O9&gt;0,'Текущие цены с учетом расхода'!O9,IF('Текущие цены с учетом расхода'!O9&lt;0,'Текущие цены с учетом расхода'!O9,""))</f>
        <v>93.93</v>
      </c>
      <c r="M100" s="10" t="s">
        <v>51</v>
      </c>
    </row>
    <row r="101" ht="10.5" hidden="1"/>
    <row r="102" spans="3:13" ht="10.5" hidden="1">
      <c r="C102" s="15" t="s">
        <v>52</v>
      </c>
      <c r="G102" s="12">
        <f>IF('Текущие цены с учетом расхода'!R9&gt;0,'Текущие цены с учетом расхода'!R9,IF('Текущие цены с учетом расхода'!R9&lt;0,'Текущие цены с учетом расхода'!R9,""))</f>
      </c>
      <c r="M102" s="10" t="s">
        <v>53</v>
      </c>
    </row>
    <row r="103" spans="3:13" ht="10.5" hidden="1">
      <c r="C103" s="15" t="s">
        <v>54</v>
      </c>
      <c r="D103" s="1">
        <v>65</v>
      </c>
      <c r="G103" s="12">
        <f>IF('Текущие цены с учетом расхода'!S9&gt;0,'Текущие цены с учетом расхода'!S9,IF('Текущие цены с учетом расхода'!S9&lt;0,'Текущие цены с учетом расхода'!S9,""))</f>
        <v>93.93</v>
      </c>
      <c r="M103" s="10" t="s">
        <v>55</v>
      </c>
    </row>
    <row r="104" spans="3:7" ht="10.5">
      <c r="C104" s="15" t="s">
        <v>56</v>
      </c>
      <c r="G104" s="12">
        <f>ROUND(IF(G84="",0,G84)+IF(G96="",0,G96)+IF(G100="",0,G100),2)</f>
        <v>12749.49</v>
      </c>
    </row>
    <row r="105" spans="1:11" ht="10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5" ht="10.5">
      <c r="A106" s="39" t="s">
        <v>66</v>
      </c>
      <c r="B106" s="40" t="s">
        <v>58</v>
      </c>
      <c r="C106" s="40" t="s">
        <v>59</v>
      </c>
      <c r="D106" s="38">
        <v>0.00767865</v>
      </c>
      <c r="E106" s="11">
        <f>'Текущие цены за единицу'!B10</f>
        <v>67452.24</v>
      </c>
      <c r="F106" s="11">
        <f>'Текущие цены за единицу'!D10</f>
        <v>67452.24</v>
      </c>
      <c r="G106" s="41">
        <f>'Текущие цены с учетом расхода'!B10</f>
        <v>517.94</v>
      </c>
      <c r="H106" s="41">
        <f>'Текущие цены с учетом расхода'!C10</f>
        <v>0</v>
      </c>
      <c r="I106" s="11">
        <f>'Текущие цены с учетом расхода'!D10</f>
        <v>517.94</v>
      </c>
      <c r="J106" s="13"/>
      <c r="K106" s="13">
        <f>'Текущие цены с учетом расхода'!I10</f>
        <v>0</v>
      </c>
      <c r="L106" s="1" t="s">
        <v>29</v>
      </c>
      <c r="M106" s="1" t="s">
        <v>30</v>
      </c>
      <c r="O106" s="41">
        <f>'Текущие цены с учетом расхода'!F10</f>
        <v>0</v>
      </c>
    </row>
    <row r="107" spans="1:15" ht="34.5" customHeight="1">
      <c r="A107" s="38"/>
      <c r="B107" s="38"/>
      <c r="C107" s="40"/>
      <c r="D107" s="38"/>
      <c r="E107" s="12">
        <f>'Текущие цены за единицу'!C10</f>
        <v>0</v>
      </c>
      <c r="F107" s="12">
        <f>'Текущие цены за единицу'!E10</f>
        <v>25648.85</v>
      </c>
      <c r="G107" s="41"/>
      <c r="H107" s="41"/>
      <c r="I107" s="12">
        <f>'Текущие цены с учетом расхода'!E10</f>
        <v>196.95</v>
      </c>
      <c r="J107" s="1">
        <v>155.25</v>
      </c>
      <c r="K107" s="1">
        <f>'Текущие цены с учетом расхода'!K10</f>
        <v>1.19211041</v>
      </c>
      <c r="L107" s="1" t="s">
        <v>31</v>
      </c>
      <c r="M107" s="1" t="s">
        <v>32</v>
      </c>
      <c r="O107" s="41"/>
    </row>
    <row r="108" ht="10.5">
      <c r="C108" s="14" t="s">
        <v>60</v>
      </c>
    </row>
    <row r="109" ht="10.5" hidden="1">
      <c r="C109" s="15" t="s">
        <v>34</v>
      </c>
    </row>
    <row r="110" spans="3:7" ht="10.5" hidden="1">
      <c r="C110" s="15" t="s">
        <v>35</v>
      </c>
      <c r="G110" s="1">
        <v>517.94</v>
      </c>
    </row>
    <row r="111" spans="3:7" ht="10.5" hidden="1">
      <c r="C111" s="15" t="s">
        <v>36</v>
      </c>
      <c r="G111" s="1">
        <v>196.95</v>
      </c>
    </row>
    <row r="112" ht="10.5" hidden="1">
      <c r="C112" s="15" t="s">
        <v>37</v>
      </c>
    </row>
    <row r="113" ht="21" hidden="1">
      <c r="C113" s="15" t="s">
        <v>38</v>
      </c>
    </row>
    <row r="114" spans="3:12" ht="21" hidden="1">
      <c r="C114" s="15" t="s">
        <v>39</v>
      </c>
      <c r="D114" s="16"/>
      <c r="L114" s="1" t="s">
        <v>40</v>
      </c>
    </row>
    <row r="115" ht="10.5" hidden="1">
      <c r="C115" s="15" t="s">
        <v>41</v>
      </c>
    </row>
    <row r="116" ht="21" hidden="1">
      <c r="C116" s="15" t="s">
        <v>42</v>
      </c>
    </row>
    <row r="117" ht="21" hidden="1">
      <c r="C117" s="15" t="s">
        <v>43</v>
      </c>
    </row>
    <row r="118" spans="3:13" ht="10.5">
      <c r="C118" s="15" t="s">
        <v>44</v>
      </c>
      <c r="D118" s="1">
        <v>121</v>
      </c>
      <c r="G118" s="12">
        <f>IF('Текущие цены с учетом расхода'!N10&gt;0,'Текущие цены с учетом расхода'!N10,IF('Текущие цены с учетом расхода'!N10&lt;0,'Текущие цены с учетом расхода'!N10,""))</f>
        <v>238.31</v>
      </c>
      <c r="M118" s="10" t="s">
        <v>45</v>
      </c>
    </row>
    <row r="119" ht="10.5" hidden="1"/>
    <row r="120" spans="3:13" ht="10.5" hidden="1">
      <c r="C120" s="15" t="s">
        <v>46</v>
      </c>
      <c r="G120" s="12">
        <f>IF('Текущие цены с учетом расхода'!P10&gt;0,'Текущие цены с учетом расхода'!P10,IF('Текущие цены с учетом расхода'!P10&lt;0,'Текущие цены с учетом расхода'!P10,""))</f>
      </c>
      <c r="M120" s="10" t="s">
        <v>47</v>
      </c>
    </row>
    <row r="121" spans="3:13" ht="10.5" hidden="1">
      <c r="C121" s="15" t="s">
        <v>48</v>
      </c>
      <c r="D121" s="1">
        <v>121</v>
      </c>
      <c r="G121" s="12">
        <f>IF('Текущие цены с учетом расхода'!Q10&gt;0,'Текущие цены с учетом расхода'!Q10,IF('Текущие цены с учетом расхода'!Q10&lt;0,'Текущие цены с учетом расхода'!Q10,""))</f>
        <v>238.31</v>
      </c>
      <c r="M121" s="10" t="s">
        <v>49</v>
      </c>
    </row>
    <row r="122" spans="3:13" ht="10.5">
      <c r="C122" s="15" t="s">
        <v>50</v>
      </c>
      <c r="D122" s="1">
        <v>65</v>
      </c>
      <c r="G122" s="12">
        <f>IF('Текущие цены с учетом расхода'!O10&gt;0,'Текущие цены с учетом расхода'!O10,IF('Текущие цены с учетом расхода'!O10&lt;0,'Текущие цены с учетом расхода'!O10,""))</f>
        <v>128.02</v>
      </c>
      <c r="M122" s="10" t="s">
        <v>51</v>
      </c>
    </row>
    <row r="123" ht="10.5" hidden="1"/>
    <row r="124" spans="3:13" ht="10.5" hidden="1">
      <c r="C124" s="15" t="s">
        <v>52</v>
      </c>
      <c r="G124" s="12">
        <f>IF('Текущие цены с учетом расхода'!R10&gt;0,'Текущие цены с учетом расхода'!R10,IF('Текущие цены с учетом расхода'!R10&lt;0,'Текущие цены с учетом расхода'!R10,""))</f>
      </c>
      <c r="M124" s="10" t="s">
        <v>53</v>
      </c>
    </row>
    <row r="125" spans="3:13" ht="10.5" hidden="1">
      <c r="C125" s="15" t="s">
        <v>54</v>
      </c>
      <c r="D125" s="1">
        <v>65</v>
      </c>
      <c r="G125" s="12">
        <f>IF('Текущие цены с учетом расхода'!S10&gt;0,'Текущие цены с учетом расхода'!S10,IF('Текущие цены с учетом расхода'!S10&lt;0,'Текущие цены с учетом расхода'!S10,""))</f>
        <v>128.02</v>
      </c>
      <c r="M125" s="10" t="s">
        <v>55</v>
      </c>
    </row>
    <row r="126" spans="3:7" ht="10.5">
      <c r="C126" s="15" t="s">
        <v>56</v>
      </c>
      <c r="G126" s="12">
        <f>ROUND(IF(G106="",0,G106)+IF(G118="",0,G118)+IF(G122="",0,G122),2)</f>
        <v>884.27</v>
      </c>
    </row>
    <row r="127" spans="1:11" ht="10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</row>
    <row r="128" spans="1:15" ht="10.5">
      <c r="A128" s="39" t="s">
        <v>67</v>
      </c>
      <c r="B128" s="40" t="s">
        <v>68</v>
      </c>
      <c r="C128" s="40" t="s">
        <v>318</v>
      </c>
      <c r="D128" s="38">
        <v>2.982</v>
      </c>
      <c r="E128" s="11">
        <f>'Текущие цены за единицу'!B11</f>
        <v>278155.92</v>
      </c>
      <c r="F128" s="11">
        <f>'Текущие цены за единицу'!D11</f>
        <v>24324.2</v>
      </c>
      <c r="G128" s="41">
        <f>'Текущие цены с учетом расхода'!B11</f>
        <v>829460.95</v>
      </c>
      <c r="H128" s="41">
        <f>'Текущие цены с учетом расхода'!C11</f>
        <v>26651.95</v>
      </c>
      <c r="I128" s="11">
        <f>'Текущие цены с учетом расхода'!D11</f>
        <v>72534.76</v>
      </c>
      <c r="J128" s="13">
        <v>52.854</v>
      </c>
      <c r="K128" s="13">
        <f>'Текущие цены с учетом расхода'!I11</f>
        <v>157.61063</v>
      </c>
      <c r="L128" s="1" t="s">
        <v>29</v>
      </c>
      <c r="M128" s="1" t="s">
        <v>30</v>
      </c>
      <c r="O128" s="41">
        <f>'Текущие цены с учетом расхода'!F11</f>
        <v>730274.24</v>
      </c>
    </row>
    <row r="129" spans="1:15" ht="82.5" customHeight="1">
      <c r="A129" s="38"/>
      <c r="B129" s="38"/>
      <c r="C129" s="40"/>
      <c r="D129" s="38"/>
      <c r="E129" s="12">
        <f>'Текущие цены за единицу'!C11</f>
        <v>8937.61</v>
      </c>
      <c r="F129" s="12">
        <f>'Текущие цены за единицу'!E11</f>
        <v>6763.23</v>
      </c>
      <c r="G129" s="41"/>
      <c r="H129" s="41"/>
      <c r="I129" s="12">
        <f>'Текущие цены с учетом расхода'!E11</f>
        <v>20167.95</v>
      </c>
      <c r="J129" s="1">
        <v>28.62</v>
      </c>
      <c r="K129" s="1">
        <f>'Текущие цены с учетом расхода'!K11</f>
        <v>85.34484</v>
      </c>
      <c r="L129" s="1" t="s">
        <v>31</v>
      </c>
      <c r="M129" s="1" t="s">
        <v>32</v>
      </c>
      <c r="O129" s="41"/>
    </row>
    <row r="130" ht="10.5">
      <c r="C130" s="14" t="s">
        <v>64</v>
      </c>
    </row>
    <row r="131" spans="3:7" ht="10.5" hidden="1">
      <c r="C131" s="15" t="s">
        <v>34</v>
      </c>
      <c r="G131" s="1">
        <v>26651.96</v>
      </c>
    </row>
    <row r="132" spans="3:7" ht="10.5" hidden="1">
      <c r="C132" s="15" t="s">
        <v>35</v>
      </c>
      <c r="G132" s="1">
        <v>72534.77</v>
      </c>
    </row>
    <row r="133" spans="3:7" ht="10.5" hidden="1">
      <c r="C133" s="15" t="s">
        <v>36</v>
      </c>
      <c r="G133" s="1">
        <v>20167.95</v>
      </c>
    </row>
    <row r="134" spans="3:7" ht="10.5" hidden="1">
      <c r="C134" s="15" t="s">
        <v>37</v>
      </c>
      <c r="G134" s="1">
        <v>730274.22</v>
      </c>
    </row>
    <row r="135" ht="21" hidden="1">
      <c r="C135" s="15" t="s">
        <v>38</v>
      </c>
    </row>
    <row r="136" spans="3:12" ht="21" hidden="1">
      <c r="C136" s="15" t="s">
        <v>39</v>
      </c>
      <c r="D136" s="16"/>
      <c r="L136" s="1" t="s">
        <v>40</v>
      </c>
    </row>
    <row r="137" ht="10.5" hidden="1">
      <c r="C137" s="15" t="s">
        <v>41</v>
      </c>
    </row>
    <row r="138" ht="21" hidden="1">
      <c r="C138" s="15" t="s">
        <v>42</v>
      </c>
    </row>
    <row r="139" ht="21" hidden="1">
      <c r="C139" s="15" t="s">
        <v>43</v>
      </c>
    </row>
    <row r="140" spans="3:13" ht="10.5">
      <c r="C140" s="15" t="s">
        <v>44</v>
      </c>
      <c r="D140" s="1">
        <v>121</v>
      </c>
      <c r="G140" s="12">
        <f>IF('Текущие цены с учетом расхода'!N11&gt;0,'Текущие цены с учетом расхода'!N11,IF('Текущие цены с учетом расхода'!N11&lt;0,'Текущие цены с учетом расхода'!N11,""))</f>
        <v>56652.08</v>
      </c>
      <c r="M140" s="10" t="s">
        <v>45</v>
      </c>
    </row>
    <row r="141" ht="10.5" hidden="1"/>
    <row r="142" spans="3:13" ht="10.5" hidden="1">
      <c r="C142" s="15" t="s">
        <v>46</v>
      </c>
      <c r="D142" s="1">
        <v>121</v>
      </c>
      <c r="G142" s="12">
        <f>IF('Текущие цены с учетом расхода'!P11&gt;0,'Текущие цены с учетом расхода'!P11,IF('Текущие цены с учетом расхода'!P11&lt;0,'Текущие цены с учетом расхода'!P11,""))</f>
        <v>32248.86</v>
      </c>
      <c r="M142" s="10" t="s">
        <v>47</v>
      </c>
    </row>
    <row r="143" spans="3:13" ht="10.5" hidden="1">
      <c r="C143" s="15" t="s">
        <v>48</v>
      </c>
      <c r="D143" s="1">
        <v>121</v>
      </c>
      <c r="G143" s="12">
        <f>IF('Текущие цены с учетом расхода'!Q11&gt;0,'Текущие цены с учетом расхода'!Q11,IF('Текущие цены с учетом расхода'!Q11&lt;0,'Текущие цены с учетом расхода'!Q11,""))</f>
        <v>24403.22</v>
      </c>
      <c r="M143" s="10" t="s">
        <v>49</v>
      </c>
    </row>
    <row r="144" spans="3:13" ht="10.5">
      <c r="C144" s="15" t="s">
        <v>50</v>
      </c>
      <c r="D144" s="1">
        <v>65</v>
      </c>
      <c r="G144" s="12">
        <f>IF('Текущие цены с учетом расхода'!O11&gt;0,'Текущие цены с учетом расхода'!O11,IF('Текущие цены с учетом расхода'!O11&lt;0,'Текущие цены с учетом расхода'!O11,""))</f>
        <v>30432.94</v>
      </c>
      <c r="M144" s="10" t="s">
        <v>51</v>
      </c>
    </row>
    <row r="145" ht="10.5" hidden="1"/>
    <row r="146" spans="3:13" ht="10.5" hidden="1">
      <c r="C146" s="15" t="s">
        <v>52</v>
      </c>
      <c r="D146" s="1">
        <v>65</v>
      </c>
      <c r="G146" s="12">
        <f>IF('Текущие цены с учетом расхода'!R11&gt;0,'Текущие цены с учетом расхода'!R11,IF('Текущие цены с учетом расхода'!R11&lt;0,'Текущие цены с учетом расхода'!R11,""))</f>
        <v>17323.77</v>
      </c>
      <c r="M146" s="10" t="s">
        <v>53</v>
      </c>
    </row>
    <row r="147" spans="3:13" ht="10.5" hidden="1">
      <c r="C147" s="15" t="s">
        <v>54</v>
      </c>
      <c r="D147" s="1">
        <v>65</v>
      </c>
      <c r="G147" s="12">
        <f>IF('Текущие цены с учетом расхода'!S11&gt;0,'Текущие цены с учетом расхода'!S11,IF('Текущие цены с учетом расхода'!S11&lt;0,'Текущие цены с учетом расхода'!S11,""))</f>
        <v>13109.17</v>
      </c>
      <c r="M147" s="10" t="s">
        <v>55</v>
      </c>
    </row>
    <row r="148" spans="3:7" ht="10.5">
      <c r="C148" s="15" t="s">
        <v>56</v>
      </c>
      <c r="G148" s="12">
        <f>ROUND(IF(G128="",0,G128)+IF(G140="",0,G140)+IF(G144="",0,G144),2)</f>
        <v>916545.97</v>
      </c>
    </row>
    <row r="149" spans="1:11" ht="10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</row>
    <row r="150" spans="2:19" ht="10.5">
      <c r="B150" s="7" t="s">
        <v>69</v>
      </c>
      <c r="F150" s="36"/>
      <c r="G150" s="37">
        <f>'Текущие концовки'!F7</f>
        <v>1095273.11</v>
      </c>
      <c r="H150" s="37">
        <f>'Текущие концовки'!G7</f>
        <v>31110.55</v>
      </c>
      <c r="I150" s="20">
        <f>'Текущие концовки'!H7</f>
        <v>97185.88</v>
      </c>
      <c r="J150" s="38"/>
      <c r="K150" s="21">
        <f>'Текущие концовки'!J7</f>
        <v>183.567436</v>
      </c>
      <c r="O150" s="37">
        <f>'Текущие концовки'!L7</f>
        <v>966976.68</v>
      </c>
      <c r="S150" s="37">
        <f>'Текущие концовки'!M7</f>
        <v>0</v>
      </c>
    </row>
    <row r="151" spans="6:19" ht="10.5">
      <c r="F151" s="36"/>
      <c r="G151" s="37"/>
      <c r="H151" s="37"/>
      <c r="I151" s="19">
        <f>'Текущие концовки'!I7</f>
        <v>27227.28</v>
      </c>
      <c r="J151" s="38"/>
      <c r="K151" s="6">
        <f>'Текущие концовки'!K7</f>
        <v>115.71791261</v>
      </c>
      <c r="O151" s="37"/>
      <c r="S151" s="37"/>
    </row>
    <row r="152" spans="2:19" ht="10.5" hidden="1">
      <c r="B152" s="7" t="s">
        <v>70</v>
      </c>
      <c r="E152" s="18"/>
      <c r="G152" s="19">
        <f>'Текущие концовки'!F8</f>
        <v>0</v>
      </c>
      <c r="H152" s="19">
        <f>'Текущие концовки'!G8</f>
        <v>0</v>
      </c>
      <c r="I152" s="19">
        <f>'Текущие концовки'!H8</f>
        <v>0</v>
      </c>
      <c r="K152" s="6">
        <f>'Текущие концовки'!J8</f>
        <v>0</v>
      </c>
      <c r="O152" s="19">
        <f>'Текущие концовки'!L8</f>
        <v>0</v>
      </c>
      <c r="S152" s="19">
        <f>'Текущие концовки'!M8</f>
        <v>0</v>
      </c>
    </row>
    <row r="153" spans="2:19" ht="10.5" hidden="1">
      <c r="B153" s="7" t="s">
        <v>71</v>
      </c>
      <c r="E153" s="18"/>
      <c r="G153" s="19">
        <f>'Текущие концовки'!F9</f>
        <v>0</v>
      </c>
      <c r="H153" s="19"/>
      <c r="I153" s="19"/>
      <c r="K153" s="6"/>
      <c r="O153" s="19"/>
      <c r="S153" s="19"/>
    </row>
    <row r="154" spans="2:19" ht="10.5" hidden="1">
      <c r="B154" s="7" t="s">
        <v>72</v>
      </c>
      <c r="E154" s="18"/>
      <c r="G154" s="19">
        <f>'Текущие концовки'!F10</f>
        <v>0</v>
      </c>
      <c r="H154" s="19"/>
      <c r="I154" s="19"/>
      <c r="K154" s="6"/>
      <c r="O154" s="19"/>
      <c r="S154" s="19"/>
    </row>
    <row r="155" spans="2:19" ht="10.5" hidden="1">
      <c r="B155" s="7" t="s">
        <v>73</v>
      </c>
      <c r="E155" s="18"/>
      <c r="G155" s="19">
        <f>'Текущие концовки'!F11</f>
        <v>0</v>
      </c>
      <c r="H155" s="19"/>
      <c r="I155" s="19"/>
      <c r="K155" s="6"/>
      <c r="O155" s="19"/>
      <c r="S155" s="19"/>
    </row>
    <row r="156" spans="2:19" ht="10.5" hidden="1">
      <c r="B156" s="7" t="s">
        <v>74</v>
      </c>
      <c r="E156" s="18"/>
      <c r="G156" s="19">
        <f>'Текущие концовки'!F12</f>
        <v>0</v>
      </c>
      <c r="H156" s="19"/>
      <c r="I156" s="19"/>
      <c r="K156" s="6"/>
      <c r="O156" s="19"/>
      <c r="S156" s="19"/>
    </row>
    <row r="157" spans="2:19" ht="10.5" hidden="1">
      <c r="B157" s="7" t="s">
        <v>75</v>
      </c>
      <c r="E157" s="18"/>
      <c r="G157" s="19">
        <f>'Текущие концовки'!F13</f>
        <v>0</v>
      </c>
      <c r="H157" s="19"/>
      <c r="I157" s="19"/>
      <c r="K157" s="6"/>
      <c r="O157" s="19"/>
      <c r="S157" s="19"/>
    </row>
    <row r="158" spans="2:19" ht="10.5" hidden="1">
      <c r="B158" s="7" t="s">
        <v>76</v>
      </c>
      <c r="E158" s="18"/>
      <c r="G158" s="19">
        <f>'Текущие концовки'!F14</f>
        <v>0</v>
      </c>
      <c r="H158" s="19"/>
      <c r="I158" s="19"/>
      <c r="K158" s="6"/>
      <c r="O158" s="19"/>
      <c r="S158" s="19"/>
    </row>
    <row r="159" spans="2:19" ht="10.5" hidden="1">
      <c r="B159" s="7" t="s">
        <v>77</v>
      </c>
      <c r="E159" s="18"/>
      <c r="G159" s="19">
        <f>'Текущие концовки'!F15</f>
        <v>0</v>
      </c>
      <c r="H159" s="19"/>
      <c r="I159" s="19"/>
      <c r="K159" s="6"/>
      <c r="O159" s="19"/>
      <c r="S159" s="19"/>
    </row>
    <row r="160" spans="2:19" ht="10.5" hidden="1">
      <c r="B160" s="7" t="s">
        <v>78</v>
      </c>
      <c r="E160" s="18"/>
      <c r="G160" s="19">
        <f>'Текущие концовки'!F16</f>
        <v>0</v>
      </c>
      <c r="H160" s="19"/>
      <c r="I160" s="19"/>
      <c r="K160" s="6"/>
      <c r="O160" s="19"/>
      <c r="S160" s="19"/>
    </row>
    <row r="161" spans="2:19" ht="10.5" hidden="1">
      <c r="B161" s="7" t="s">
        <v>79</v>
      </c>
      <c r="E161" s="18"/>
      <c r="G161" s="19">
        <f>'Текущие концовки'!F17</f>
        <v>0</v>
      </c>
      <c r="H161" s="19"/>
      <c r="I161" s="19"/>
      <c r="K161" s="6"/>
      <c r="O161" s="19"/>
      <c r="S161" s="19"/>
    </row>
    <row r="162" spans="2:19" ht="10.5" hidden="1">
      <c r="B162" s="7" t="s">
        <v>80</v>
      </c>
      <c r="E162" s="18"/>
      <c r="G162" s="19">
        <f>'Текущие концовки'!F18</f>
        <v>0</v>
      </c>
      <c r="H162" s="19">
        <f>'Текущие концовки'!G18</f>
        <v>0</v>
      </c>
      <c r="I162" s="19">
        <f>'Текущие концовки'!H18</f>
        <v>0</v>
      </c>
      <c r="K162" s="6">
        <f>'Текущие концовки'!J18</f>
        <v>0</v>
      </c>
      <c r="O162" s="19">
        <f>'Текущие концовки'!L18</f>
        <v>0</v>
      </c>
      <c r="S162" s="19">
        <f>'Текущие концовки'!M18</f>
        <v>0</v>
      </c>
    </row>
    <row r="163" spans="2:19" ht="10.5" hidden="1">
      <c r="B163" s="7" t="s">
        <v>81</v>
      </c>
      <c r="E163" s="18"/>
      <c r="G163" s="19"/>
      <c r="H163" s="19"/>
      <c r="I163" s="19"/>
      <c r="K163" s="6"/>
      <c r="O163" s="19"/>
      <c r="S163" s="19"/>
    </row>
    <row r="164" spans="2:19" ht="10.5" hidden="1">
      <c r="B164" s="7" t="s">
        <v>82</v>
      </c>
      <c r="E164" s="18"/>
      <c r="G164" s="19"/>
      <c r="H164" s="19">
        <f>'Текущие концовки'!G20</f>
        <v>0</v>
      </c>
      <c r="I164" s="19"/>
      <c r="K164" s="6"/>
      <c r="O164" s="19"/>
      <c r="S164" s="19"/>
    </row>
    <row r="165" spans="2:19" ht="10.5" hidden="1">
      <c r="B165" s="7" t="s">
        <v>83</v>
      </c>
      <c r="E165" s="18"/>
      <c r="G165" s="19">
        <f>'Текущие концовки'!F21</f>
        <v>0</v>
      </c>
      <c r="H165" s="19"/>
      <c r="I165" s="19"/>
      <c r="K165" s="6"/>
      <c r="O165" s="19"/>
      <c r="S165" s="19"/>
    </row>
    <row r="166" spans="2:19" ht="10.5" hidden="1">
      <c r="B166" s="7" t="s">
        <v>84</v>
      </c>
      <c r="E166" s="18"/>
      <c r="G166" s="19">
        <f>'Текущие концовки'!F22</f>
        <v>0</v>
      </c>
      <c r="H166" s="19"/>
      <c r="I166" s="19"/>
      <c r="K166" s="6"/>
      <c r="O166" s="19"/>
      <c r="S166" s="19"/>
    </row>
    <row r="167" spans="2:19" ht="10.5" hidden="1">
      <c r="B167" s="7" t="s">
        <v>85</v>
      </c>
      <c r="E167" s="18"/>
      <c r="G167" s="19">
        <f>'Текущие концовки'!F23</f>
        <v>0</v>
      </c>
      <c r="H167" s="19"/>
      <c r="I167" s="19"/>
      <c r="K167" s="6"/>
      <c r="O167" s="19"/>
      <c r="S167" s="19"/>
    </row>
    <row r="168" spans="2:19" ht="10.5" hidden="1">
      <c r="B168" s="7" t="s">
        <v>86</v>
      </c>
      <c r="E168" s="18"/>
      <c r="G168" s="19">
        <f>'Текущие концовки'!F24</f>
        <v>0</v>
      </c>
      <c r="H168" s="19"/>
      <c r="I168" s="19"/>
      <c r="K168" s="6"/>
      <c r="O168" s="19"/>
      <c r="S168" s="19"/>
    </row>
    <row r="169" spans="2:19" ht="10.5" hidden="1">
      <c r="B169" s="7" t="s">
        <v>87</v>
      </c>
      <c r="E169" s="18"/>
      <c r="G169" s="19">
        <f>'Текущие концовки'!F25</f>
        <v>0</v>
      </c>
      <c r="H169" s="19"/>
      <c r="I169" s="19"/>
      <c r="K169" s="6"/>
      <c r="O169" s="19"/>
      <c r="S169" s="19"/>
    </row>
    <row r="170" spans="2:19" ht="10.5" hidden="1">
      <c r="B170" s="7" t="s">
        <v>78</v>
      </c>
      <c r="E170" s="18"/>
      <c r="G170" s="19">
        <f>'Текущие концовки'!F26</f>
        <v>0</v>
      </c>
      <c r="H170" s="19"/>
      <c r="I170" s="19"/>
      <c r="K170" s="6"/>
      <c r="O170" s="19"/>
      <c r="S170" s="19"/>
    </row>
    <row r="171" spans="2:19" ht="10.5" hidden="1">
      <c r="B171" s="7" t="s">
        <v>88</v>
      </c>
      <c r="E171" s="18"/>
      <c r="G171" s="19">
        <f>'Текущие концовки'!F27</f>
        <v>0</v>
      </c>
      <c r="H171" s="19"/>
      <c r="I171" s="19"/>
      <c r="K171" s="6"/>
      <c r="O171" s="19"/>
      <c r="S171" s="19"/>
    </row>
    <row r="172" spans="2:19" ht="10.5">
      <c r="B172" s="7" t="s">
        <v>89</v>
      </c>
      <c r="F172" s="36"/>
      <c r="G172" s="37">
        <f>'Текущие концовки'!F28</f>
        <v>1095273.11</v>
      </c>
      <c r="H172" s="37">
        <f>'Текущие концовки'!G28</f>
        <v>31110.55</v>
      </c>
      <c r="I172" s="20">
        <f>'Текущие концовки'!H28</f>
        <v>97185.88</v>
      </c>
      <c r="J172" s="38"/>
      <c r="K172" s="21">
        <f>'Текущие концовки'!J28</f>
        <v>183.567436</v>
      </c>
      <c r="O172" s="37">
        <f>'Текущие концовки'!L28</f>
        <v>966976.68</v>
      </c>
      <c r="S172" s="37">
        <f>'Текущие концовки'!M28</f>
        <v>0</v>
      </c>
    </row>
    <row r="173" spans="6:19" ht="10.5">
      <c r="F173" s="36"/>
      <c r="G173" s="37"/>
      <c r="H173" s="37"/>
      <c r="I173" s="19">
        <f>'Текущие концовки'!I28</f>
        <v>27227.28</v>
      </c>
      <c r="J173" s="38"/>
      <c r="K173" s="6">
        <f>'Текущие концовки'!K28</f>
        <v>115.71791261</v>
      </c>
      <c r="O173" s="37"/>
      <c r="S173" s="37"/>
    </row>
    <row r="174" spans="2:19" ht="10.5" hidden="1">
      <c r="B174" s="7" t="s">
        <v>81</v>
      </c>
      <c r="E174" s="18"/>
      <c r="G174" s="19"/>
      <c r="H174" s="19"/>
      <c r="I174" s="19"/>
      <c r="K174" s="6"/>
      <c r="O174" s="19"/>
      <c r="S174" s="19"/>
    </row>
    <row r="175" spans="2:19" ht="10.5" hidden="1">
      <c r="B175" s="7" t="s">
        <v>90</v>
      </c>
      <c r="E175" s="18"/>
      <c r="G175" s="19">
        <f>'Текущие концовки'!F30</f>
        <v>0</v>
      </c>
      <c r="H175" s="19"/>
      <c r="I175" s="19"/>
      <c r="K175" s="6"/>
      <c r="O175" s="19"/>
      <c r="S175" s="19"/>
    </row>
    <row r="176" spans="2:19" ht="10.5" hidden="1">
      <c r="B176" s="7" t="s">
        <v>85</v>
      </c>
      <c r="E176" s="18"/>
      <c r="G176" s="19">
        <f>'Текущие концовки'!F31</f>
        <v>0</v>
      </c>
      <c r="H176" s="19"/>
      <c r="I176" s="19"/>
      <c r="K176" s="6"/>
      <c r="O176" s="19"/>
      <c r="S176" s="19"/>
    </row>
    <row r="177" spans="2:19" ht="10.5">
      <c r="B177" s="7" t="s">
        <v>91</v>
      </c>
      <c r="F177" s="18"/>
      <c r="G177" s="19">
        <f>'Текущие концовки'!F32</f>
        <v>70588.77</v>
      </c>
      <c r="H177" s="19"/>
      <c r="I177" s="19"/>
      <c r="K177" s="6"/>
      <c r="O177" s="19"/>
      <c r="S177" s="19"/>
    </row>
    <row r="178" spans="2:19" ht="10.5">
      <c r="B178" s="7" t="s">
        <v>92</v>
      </c>
      <c r="F178" s="18"/>
      <c r="G178" s="19">
        <f>'Текущие концовки'!F33</f>
        <v>37919.6</v>
      </c>
      <c r="H178" s="19"/>
      <c r="I178" s="19"/>
      <c r="K178" s="6"/>
      <c r="O178" s="19"/>
      <c r="S178" s="19"/>
    </row>
    <row r="179" spans="2:19" ht="10.5">
      <c r="B179" s="7" t="s">
        <v>93</v>
      </c>
      <c r="F179" s="18"/>
      <c r="G179" s="19">
        <f>'Текущие концовки'!F34</f>
        <v>1203781.48</v>
      </c>
      <c r="H179" s="19"/>
      <c r="I179" s="19"/>
      <c r="K179" s="6"/>
      <c r="O179" s="19"/>
      <c r="S179" s="19"/>
    </row>
    <row r="180" spans="2:19" ht="10.5" hidden="1">
      <c r="B180" s="7" t="s">
        <v>94</v>
      </c>
      <c r="E180" s="18"/>
      <c r="G180" s="19">
        <f>'Текущие концовки'!F35</f>
        <v>0</v>
      </c>
      <c r="H180" s="19">
        <f>'Текущие концовки'!G35</f>
        <v>0</v>
      </c>
      <c r="I180" s="19">
        <f>'Текущие концовки'!H35</f>
        <v>0</v>
      </c>
      <c r="K180" s="6">
        <f>'Текущие концовки'!J35</f>
        <v>0</v>
      </c>
      <c r="O180" s="19">
        <f>'Текущие концовки'!L35</f>
        <v>0</v>
      </c>
      <c r="S180" s="19">
        <f>'Текущие концовки'!M35</f>
        <v>0</v>
      </c>
    </row>
    <row r="181" spans="2:19" ht="10.5" hidden="1">
      <c r="B181" s="7" t="s">
        <v>85</v>
      </c>
      <c r="E181" s="18"/>
      <c r="G181" s="19">
        <f>'Текущие концовки'!F36</f>
        <v>0</v>
      </c>
      <c r="H181" s="19"/>
      <c r="I181" s="19"/>
      <c r="K181" s="6"/>
      <c r="O181" s="19"/>
      <c r="S181" s="19"/>
    </row>
    <row r="182" spans="2:19" ht="10.5" hidden="1">
      <c r="B182" s="7" t="s">
        <v>86</v>
      </c>
      <c r="E182" s="18"/>
      <c r="G182" s="19">
        <f>'Текущие концовки'!F37</f>
        <v>0</v>
      </c>
      <c r="H182" s="19"/>
      <c r="I182" s="19"/>
      <c r="K182" s="6"/>
      <c r="O182" s="19"/>
      <c r="S182" s="19"/>
    </row>
    <row r="183" spans="2:19" ht="10.5" hidden="1">
      <c r="B183" s="7" t="s">
        <v>87</v>
      </c>
      <c r="E183" s="18"/>
      <c r="G183" s="19">
        <f>'Текущие концовки'!F38</f>
        <v>0</v>
      </c>
      <c r="H183" s="19"/>
      <c r="I183" s="19"/>
      <c r="K183" s="6"/>
      <c r="O183" s="19"/>
      <c r="S183" s="19"/>
    </row>
    <row r="184" spans="2:19" ht="10.5" hidden="1">
      <c r="B184" s="7" t="s">
        <v>95</v>
      </c>
      <c r="E184" s="18"/>
      <c r="G184" s="19">
        <f>'Текущие концовки'!F39</f>
        <v>0</v>
      </c>
      <c r="H184" s="19"/>
      <c r="I184" s="19"/>
      <c r="K184" s="6"/>
      <c r="O184" s="19"/>
      <c r="S184" s="19"/>
    </row>
    <row r="185" spans="2:19" ht="10.5" hidden="1">
      <c r="B185" s="7" t="s">
        <v>96</v>
      </c>
      <c r="E185" s="18"/>
      <c r="G185" s="19">
        <f>'Текущие концовки'!F40</f>
        <v>0</v>
      </c>
      <c r="H185" s="19">
        <f>'Текущие концовки'!G40</f>
        <v>0</v>
      </c>
      <c r="I185" s="19">
        <f>'Текущие концовки'!H40</f>
        <v>0</v>
      </c>
      <c r="K185" s="6">
        <f>'Текущие концовки'!J40</f>
        <v>0</v>
      </c>
      <c r="O185" s="19">
        <f>'Текущие концовки'!L40</f>
        <v>0</v>
      </c>
      <c r="S185" s="19">
        <f>'Текущие концовки'!M40</f>
        <v>0</v>
      </c>
    </row>
    <row r="186" spans="2:19" ht="10.5" hidden="1">
      <c r="B186" s="7" t="s">
        <v>81</v>
      </c>
      <c r="E186" s="18"/>
      <c r="G186" s="19"/>
      <c r="H186" s="19"/>
      <c r="I186" s="19"/>
      <c r="K186" s="6"/>
      <c r="O186" s="19"/>
      <c r="S186" s="19"/>
    </row>
    <row r="187" spans="2:19" ht="10.5" hidden="1">
      <c r="B187" s="7" t="s">
        <v>97</v>
      </c>
      <c r="E187" s="18"/>
      <c r="G187" s="19">
        <f>'Текущие концовки'!F42</f>
        <v>0</v>
      </c>
      <c r="H187" s="19"/>
      <c r="I187" s="19"/>
      <c r="K187" s="6"/>
      <c r="O187" s="19"/>
      <c r="S187" s="19"/>
    </row>
    <row r="188" spans="2:19" ht="10.5" hidden="1">
      <c r="B188" s="7" t="s">
        <v>85</v>
      </c>
      <c r="E188" s="18"/>
      <c r="G188" s="19">
        <f>'Текущие концовки'!F43</f>
        <v>0</v>
      </c>
      <c r="H188" s="19"/>
      <c r="I188" s="19"/>
      <c r="K188" s="6"/>
      <c r="O188" s="19"/>
      <c r="S188" s="19"/>
    </row>
    <row r="189" spans="2:19" ht="10.5" hidden="1">
      <c r="B189" s="7" t="s">
        <v>86</v>
      </c>
      <c r="E189" s="18"/>
      <c r="G189" s="19">
        <f>'Текущие концовки'!F44</f>
        <v>0</v>
      </c>
      <c r="H189" s="19"/>
      <c r="I189" s="19"/>
      <c r="K189" s="6"/>
      <c r="O189" s="19"/>
      <c r="S189" s="19"/>
    </row>
    <row r="190" spans="2:19" ht="10.5" hidden="1">
      <c r="B190" s="7" t="s">
        <v>87</v>
      </c>
      <c r="E190" s="18"/>
      <c r="G190" s="19">
        <f>'Текущие концовки'!F45</f>
        <v>0</v>
      </c>
      <c r="H190" s="19"/>
      <c r="I190" s="19"/>
      <c r="K190" s="6"/>
      <c r="O190" s="19"/>
      <c r="S190" s="19"/>
    </row>
    <row r="191" spans="2:19" ht="10.5" hidden="1">
      <c r="B191" s="7" t="s">
        <v>78</v>
      </c>
      <c r="E191" s="18"/>
      <c r="G191" s="19">
        <f>'Текущие концовки'!F46</f>
        <v>0</v>
      </c>
      <c r="H191" s="19"/>
      <c r="I191" s="19"/>
      <c r="K191" s="6"/>
      <c r="O191" s="19"/>
      <c r="S191" s="19"/>
    </row>
    <row r="192" spans="2:19" ht="10.5" hidden="1">
      <c r="B192" s="7" t="s">
        <v>98</v>
      </c>
      <c r="E192" s="18"/>
      <c r="G192" s="19">
        <f>'Текущие концовки'!F47</f>
        <v>0</v>
      </c>
      <c r="H192" s="19"/>
      <c r="I192" s="19"/>
      <c r="K192" s="6"/>
      <c r="O192" s="19"/>
      <c r="S192" s="19"/>
    </row>
    <row r="193" spans="2:19" ht="10.5" hidden="1">
      <c r="B193" s="7" t="s">
        <v>99</v>
      </c>
      <c r="E193" s="18"/>
      <c r="G193" s="19">
        <f>'Текущие концовки'!F48</f>
        <v>0</v>
      </c>
      <c r="H193" s="19">
        <f>'Текущие концовки'!G48</f>
        <v>0</v>
      </c>
      <c r="I193" s="19">
        <f>'Текущие концовки'!H48</f>
        <v>0</v>
      </c>
      <c r="K193" s="6">
        <f>'Текущие концовки'!J48</f>
        <v>0</v>
      </c>
      <c r="O193" s="19">
        <f>'Текущие концовки'!L48</f>
        <v>0</v>
      </c>
      <c r="S193" s="19">
        <f>'Текущие концовки'!M48</f>
        <v>0</v>
      </c>
    </row>
    <row r="194" spans="2:19" ht="10.5" hidden="1">
      <c r="B194" s="7" t="s">
        <v>85</v>
      </c>
      <c r="E194" s="18"/>
      <c r="G194" s="19">
        <f>'Текущие концовки'!F49</f>
        <v>0</v>
      </c>
      <c r="H194" s="19"/>
      <c r="I194" s="19"/>
      <c r="K194" s="6"/>
      <c r="O194" s="19"/>
      <c r="S194" s="19"/>
    </row>
    <row r="195" spans="2:19" ht="10.5" hidden="1">
      <c r="B195" s="7" t="s">
        <v>86</v>
      </c>
      <c r="E195" s="18"/>
      <c r="G195" s="19">
        <f>'Текущие концовки'!F50</f>
        <v>0</v>
      </c>
      <c r="H195" s="19"/>
      <c r="I195" s="19"/>
      <c r="K195" s="6"/>
      <c r="O195" s="19"/>
      <c r="S195" s="19"/>
    </row>
    <row r="196" spans="2:19" ht="10.5" hidden="1">
      <c r="B196" s="7" t="s">
        <v>87</v>
      </c>
      <c r="E196" s="18"/>
      <c r="G196" s="19">
        <f>'Текущие концовки'!F51</f>
        <v>0</v>
      </c>
      <c r="H196" s="19"/>
      <c r="I196" s="19"/>
      <c r="K196" s="6"/>
      <c r="O196" s="19"/>
      <c r="S196" s="19"/>
    </row>
    <row r="197" spans="2:19" ht="10.5" hidden="1">
      <c r="B197" s="7" t="s">
        <v>100</v>
      </c>
      <c r="E197" s="18"/>
      <c r="G197" s="19">
        <f>'Текущие концовки'!F52</f>
        <v>0</v>
      </c>
      <c r="H197" s="19"/>
      <c r="I197" s="19"/>
      <c r="K197" s="6"/>
      <c r="O197" s="19"/>
      <c r="S197" s="19"/>
    </row>
    <row r="198" spans="2:19" ht="10.5" hidden="1">
      <c r="B198" s="7" t="s">
        <v>101</v>
      </c>
      <c r="E198" s="18"/>
      <c r="G198" s="19">
        <f>'Текущие концовки'!F53</f>
        <v>0</v>
      </c>
      <c r="H198" s="19">
        <f>'Текущие концовки'!G53</f>
        <v>0</v>
      </c>
      <c r="I198" s="19">
        <f>'Текущие концовки'!H53</f>
        <v>0</v>
      </c>
      <c r="K198" s="6">
        <f>'Текущие концовки'!J53</f>
        <v>0</v>
      </c>
      <c r="O198" s="19">
        <f>'Текущие концовки'!L53</f>
        <v>0</v>
      </c>
      <c r="S198" s="19">
        <f>'Текущие концовки'!M53</f>
        <v>0</v>
      </c>
    </row>
    <row r="199" spans="2:19" ht="10.5" hidden="1">
      <c r="B199" s="7" t="s">
        <v>85</v>
      </c>
      <c r="E199" s="18"/>
      <c r="G199" s="19">
        <f>'Текущие концовки'!F54</f>
        <v>0</v>
      </c>
      <c r="H199" s="19"/>
      <c r="I199" s="19"/>
      <c r="K199" s="6"/>
      <c r="O199" s="19"/>
      <c r="S199" s="19"/>
    </row>
    <row r="200" spans="2:19" ht="10.5" hidden="1">
      <c r="B200" s="7" t="s">
        <v>86</v>
      </c>
      <c r="E200" s="18"/>
      <c r="G200" s="19">
        <f>'Текущие концовки'!F55</f>
        <v>0</v>
      </c>
      <c r="H200" s="19"/>
      <c r="I200" s="19"/>
      <c r="K200" s="6"/>
      <c r="O200" s="19"/>
      <c r="S200" s="19"/>
    </row>
    <row r="201" spans="2:19" ht="10.5" hidden="1">
      <c r="B201" s="7" t="s">
        <v>87</v>
      </c>
      <c r="E201" s="18"/>
      <c r="G201" s="19">
        <f>'Текущие концовки'!F56</f>
        <v>0</v>
      </c>
      <c r="H201" s="19"/>
      <c r="I201" s="19"/>
      <c r="K201" s="6"/>
      <c r="O201" s="19"/>
      <c r="S201" s="19"/>
    </row>
    <row r="202" spans="2:19" ht="10.5" hidden="1">
      <c r="B202" s="7" t="s">
        <v>102</v>
      </c>
      <c r="E202" s="18"/>
      <c r="G202" s="19">
        <f>'Текущие концовки'!F57</f>
        <v>0</v>
      </c>
      <c r="H202" s="19"/>
      <c r="I202" s="19"/>
      <c r="K202" s="6"/>
      <c r="O202" s="19"/>
      <c r="S202" s="19"/>
    </row>
    <row r="203" spans="2:19" ht="10.5" hidden="1">
      <c r="B203" s="7" t="s">
        <v>103</v>
      </c>
      <c r="E203" s="18"/>
      <c r="G203" s="19">
        <f>'Текущие концовки'!F58</f>
        <v>0</v>
      </c>
      <c r="H203" s="19">
        <f>'Текущие концовки'!G58</f>
        <v>0</v>
      </c>
      <c r="I203" s="19">
        <f>'Текущие концовки'!H58</f>
        <v>0</v>
      </c>
      <c r="K203" s="6">
        <f>'Текущие концовки'!J58</f>
        <v>0</v>
      </c>
      <c r="O203" s="19">
        <f>'Текущие концовки'!L58</f>
        <v>0</v>
      </c>
      <c r="S203" s="19">
        <f>'Текущие концовки'!M58</f>
        <v>0</v>
      </c>
    </row>
    <row r="204" spans="2:19" ht="10.5" hidden="1">
      <c r="B204" s="7" t="s">
        <v>81</v>
      </c>
      <c r="E204" s="18"/>
      <c r="G204" s="19"/>
      <c r="H204" s="19"/>
      <c r="I204" s="19"/>
      <c r="K204" s="6"/>
      <c r="O204" s="19"/>
      <c r="S204" s="19"/>
    </row>
    <row r="205" spans="2:19" ht="10.5" hidden="1">
      <c r="B205" s="7" t="s">
        <v>104</v>
      </c>
      <c r="E205" s="18"/>
      <c r="G205" s="19">
        <f>'Текущие концовки'!F60</f>
        <v>0</v>
      </c>
      <c r="H205" s="19"/>
      <c r="I205" s="19"/>
      <c r="K205" s="6"/>
      <c r="O205" s="19"/>
      <c r="S205" s="19"/>
    </row>
    <row r="206" spans="2:19" ht="10.5" hidden="1">
      <c r="B206" s="7" t="s">
        <v>85</v>
      </c>
      <c r="E206" s="18"/>
      <c r="G206" s="19">
        <f>'Текущие концовки'!F61</f>
        <v>0</v>
      </c>
      <c r="H206" s="19"/>
      <c r="I206" s="19"/>
      <c r="K206" s="6"/>
      <c r="O206" s="19"/>
      <c r="S206" s="19"/>
    </row>
    <row r="207" spans="2:19" ht="10.5" hidden="1">
      <c r="B207" s="7" t="s">
        <v>105</v>
      </c>
      <c r="E207" s="18"/>
      <c r="G207" s="19">
        <f>'Текущие концовки'!F62</f>
        <v>0</v>
      </c>
      <c r="H207" s="19"/>
      <c r="I207" s="19"/>
      <c r="K207" s="6"/>
      <c r="O207" s="19"/>
      <c r="S207" s="19"/>
    </row>
    <row r="208" spans="2:19" ht="10.5" hidden="1">
      <c r="B208" s="7" t="s">
        <v>87</v>
      </c>
      <c r="E208" s="18"/>
      <c r="G208" s="19">
        <f>'Текущие концовки'!F63</f>
        <v>0</v>
      </c>
      <c r="H208" s="19"/>
      <c r="I208" s="19"/>
      <c r="K208" s="6"/>
      <c r="O208" s="19"/>
      <c r="S208" s="19"/>
    </row>
    <row r="209" spans="2:19" ht="10.5" hidden="1">
      <c r="B209" s="7" t="s">
        <v>106</v>
      </c>
      <c r="E209" s="18"/>
      <c r="G209" s="19">
        <f>'Текущие концовки'!F64</f>
        <v>0</v>
      </c>
      <c r="H209" s="19"/>
      <c r="I209" s="19"/>
      <c r="K209" s="6"/>
      <c r="O209" s="19"/>
      <c r="S209" s="19"/>
    </row>
    <row r="210" spans="2:19" ht="10.5" hidden="1">
      <c r="B210" s="7" t="s">
        <v>107</v>
      </c>
      <c r="E210" s="18"/>
      <c r="G210" s="19">
        <f>'Текущие концовки'!F65</f>
        <v>0</v>
      </c>
      <c r="H210" s="19">
        <f>'Текущие концовки'!G65</f>
        <v>0</v>
      </c>
      <c r="I210" s="19">
        <f>'Текущие концовки'!H65</f>
        <v>0</v>
      </c>
      <c r="K210" s="6">
        <f>'Текущие концовки'!J65</f>
        <v>0</v>
      </c>
      <c r="O210" s="19">
        <f>'Текущие концовки'!L65</f>
        <v>0</v>
      </c>
      <c r="S210" s="19">
        <f>'Текущие концовки'!M65</f>
        <v>0</v>
      </c>
    </row>
    <row r="211" spans="2:19" ht="10.5" hidden="1">
      <c r="B211" s="7" t="s">
        <v>105</v>
      </c>
      <c r="E211" s="18"/>
      <c r="G211" s="19">
        <f>'Текущие концовки'!F66</f>
        <v>0</v>
      </c>
      <c r="H211" s="19"/>
      <c r="I211" s="19"/>
      <c r="K211" s="6"/>
      <c r="O211" s="19"/>
      <c r="S211" s="19"/>
    </row>
    <row r="212" spans="2:19" ht="10.5" hidden="1">
      <c r="B212" s="7" t="s">
        <v>87</v>
      </c>
      <c r="E212" s="18"/>
      <c r="G212" s="19">
        <f>'Текущие концовки'!F67</f>
        <v>0</v>
      </c>
      <c r="H212" s="19"/>
      <c r="I212" s="19"/>
      <c r="K212" s="6"/>
      <c r="O212" s="19"/>
      <c r="S212" s="19"/>
    </row>
    <row r="213" spans="2:19" ht="10.5" hidden="1">
      <c r="B213" s="7" t="s">
        <v>108</v>
      </c>
      <c r="E213" s="18"/>
      <c r="G213" s="19">
        <f>'Текущие концовки'!F68</f>
        <v>0</v>
      </c>
      <c r="H213" s="19"/>
      <c r="I213" s="19"/>
      <c r="K213" s="6"/>
      <c r="O213" s="19"/>
      <c r="S213" s="19"/>
    </row>
    <row r="214" spans="2:19" ht="10.5" hidden="1">
      <c r="B214" s="7" t="s">
        <v>109</v>
      </c>
      <c r="E214" s="18"/>
      <c r="G214" s="19">
        <f>'Текущие концовки'!F69</f>
        <v>0</v>
      </c>
      <c r="H214" s="19">
        <f>'Текущие концовки'!G69</f>
        <v>0</v>
      </c>
      <c r="I214" s="19">
        <f>'Текущие концовки'!H69</f>
        <v>0</v>
      </c>
      <c r="K214" s="6">
        <f>'Текущие концовки'!J69</f>
        <v>0</v>
      </c>
      <c r="O214" s="19">
        <f>'Текущие концовки'!L69</f>
        <v>0</v>
      </c>
      <c r="S214" s="19">
        <f>'Текущие концовки'!M69</f>
        <v>0</v>
      </c>
    </row>
    <row r="215" spans="2:19" ht="10.5" hidden="1">
      <c r="B215" s="7" t="s">
        <v>85</v>
      </c>
      <c r="E215" s="18"/>
      <c r="G215" s="19">
        <f>'Текущие концовки'!F70</f>
        <v>0</v>
      </c>
      <c r="H215" s="19"/>
      <c r="I215" s="19"/>
      <c r="K215" s="6"/>
      <c r="O215" s="19"/>
      <c r="S215" s="19"/>
    </row>
    <row r="216" spans="2:19" ht="10.5" hidden="1">
      <c r="B216" s="7" t="s">
        <v>105</v>
      </c>
      <c r="E216" s="18"/>
      <c r="G216" s="19">
        <f>'Текущие концовки'!F71</f>
        <v>0</v>
      </c>
      <c r="H216" s="19"/>
      <c r="I216" s="19"/>
      <c r="K216" s="6"/>
      <c r="O216" s="19"/>
      <c r="S216" s="19"/>
    </row>
    <row r="217" spans="2:19" ht="10.5" hidden="1">
      <c r="B217" s="7" t="s">
        <v>87</v>
      </c>
      <c r="E217" s="18"/>
      <c r="G217" s="19">
        <f>'Текущие концовки'!F72</f>
        <v>0</v>
      </c>
      <c r="H217" s="19"/>
      <c r="I217" s="19"/>
      <c r="K217" s="6"/>
      <c r="O217" s="19"/>
      <c r="S217" s="19"/>
    </row>
    <row r="218" spans="2:19" ht="10.5" hidden="1">
      <c r="B218" s="7" t="s">
        <v>110</v>
      </c>
      <c r="E218" s="18"/>
      <c r="G218" s="19">
        <f>'Текущие концовки'!F73</f>
        <v>0</v>
      </c>
      <c r="H218" s="19"/>
      <c r="I218" s="19"/>
      <c r="K218" s="6"/>
      <c r="O218" s="19"/>
      <c r="S218" s="19"/>
    </row>
    <row r="219" spans="2:19" ht="10.5" hidden="1">
      <c r="B219" s="7" t="s">
        <v>111</v>
      </c>
      <c r="E219" s="18"/>
      <c r="G219" s="19">
        <f>'Текущие концовки'!F74</f>
        <v>0</v>
      </c>
      <c r="H219" s="19">
        <f>'Текущие концовки'!G74</f>
        <v>0</v>
      </c>
      <c r="I219" s="19">
        <f>'Текущие концовки'!H74</f>
        <v>0</v>
      </c>
      <c r="K219" s="6">
        <f>'Текущие концовки'!J74</f>
        <v>0</v>
      </c>
      <c r="O219" s="19">
        <f>'Текущие концовки'!L74</f>
        <v>0</v>
      </c>
      <c r="S219" s="19">
        <f>'Текущие концовки'!M74</f>
        <v>0</v>
      </c>
    </row>
    <row r="220" spans="2:19" ht="10.5" hidden="1">
      <c r="B220" s="7" t="s">
        <v>85</v>
      </c>
      <c r="E220" s="18"/>
      <c r="G220" s="19">
        <f>'Текущие концовки'!F75</f>
        <v>0</v>
      </c>
      <c r="H220" s="19"/>
      <c r="I220" s="19"/>
      <c r="K220" s="6"/>
      <c r="O220" s="19"/>
      <c r="S220" s="19"/>
    </row>
    <row r="221" spans="2:19" ht="10.5">
      <c r="B221" s="7" t="s">
        <v>112</v>
      </c>
      <c r="F221" s="18"/>
      <c r="G221" s="19">
        <f>'Текущие концовки'!F76</f>
        <v>1203781.48</v>
      </c>
      <c r="H221" s="19">
        <f>'Текущие концовки'!G76</f>
        <v>0</v>
      </c>
      <c r="I221" s="19">
        <f>'Текущие концовки'!H76</f>
        <v>0</v>
      </c>
      <c r="K221" s="6">
        <f>'Текущие концовки'!J76</f>
        <v>0</v>
      </c>
      <c r="O221" s="19">
        <f>'Текущие концовки'!L76</f>
        <v>0</v>
      </c>
      <c r="S221" s="19">
        <f>'Текущие концовки'!M76</f>
        <v>0</v>
      </c>
    </row>
    <row r="222" spans="2:19" ht="10.5" hidden="1">
      <c r="B222" s="7" t="s">
        <v>113</v>
      </c>
      <c r="E222" s="18"/>
      <c r="G222" s="19">
        <f>'Текущие концовки'!F77</f>
        <v>0</v>
      </c>
      <c r="H222" s="19"/>
      <c r="I222" s="19"/>
      <c r="K222" s="6"/>
      <c r="O222" s="19"/>
      <c r="S222" s="19"/>
    </row>
    <row r="223" spans="2:19" ht="10.5">
      <c r="B223" s="7" t="s">
        <v>114</v>
      </c>
      <c r="F223" s="18"/>
      <c r="G223" s="19">
        <f>'Текущие концовки'!F78</f>
        <v>70588.77</v>
      </c>
      <c r="H223" s="19"/>
      <c r="I223" s="19"/>
      <c r="K223" s="6"/>
      <c r="O223" s="19"/>
      <c r="S223" s="19"/>
    </row>
    <row r="224" spans="2:19" ht="10.5">
      <c r="B224" s="7" t="s">
        <v>115</v>
      </c>
      <c r="F224" s="18"/>
      <c r="G224" s="19">
        <f>'Текущие концовки'!F79</f>
        <v>37919.6</v>
      </c>
      <c r="H224" s="19"/>
      <c r="I224" s="19"/>
      <c r="K224" s="6"/>
      <c r="O224" s="19"/>
      <c r="S224" s="19"/>
    </row>
    <row r="225" spans="2:19" ht="10.5" hidden="1">
      <c r="B225" s="7" t="s">
        <v>116</v>
      </c>
      <c r="E225" s="18"/>
      <c r="G225" s="19">
        <f>'Текущие концовки'!F80</f>
        <v>0</v>
      </c>
      <c r="H225" s="19"/>
      <c r="I225" s="19"/>
      <c r="K225" s="6"/>
      <c r="O225" s="19">
        <f>'Текущие концовки'!L80</f>
        <v>0</v>
      </c>
      <c r="S225" s="19"/>
    </row>
    <row r="226" spans="2:19" ht="10.5" hidden="1">
      <c r="B226" s="7" t="s">
        <v>117</v>
      </c>
      <c r="E226" s="18"/>
      <c r="G226" s="19">
        <f>'Текущие концовки'!F81</f>
        <v>0</v>
      </c>
      <c r="H226" s="19"/>
      <c r="I226" s="19"/>
      <c r="K226" s="6"/>
      <c r="O226" s="19">
        <f>'Текущие концовки'!L81</f>
        <v>0</v>
      </c>
      <c r="S226" s="19"/>
    </row>
    <row r="227" spans="2:19" ht="10.5" hidden="1">
      <c r="B227" s="7" t="s">
        <v>118</v>
      </c>
      <c r="F227" s="18"/>
      <c r="G227" s="19">
        <f>'Текущие концовки'!F82</f>
        <v>31110.55</v>
      </c>
      <c r="H227" s="19"/>
      <c r="I227" s="19"/>
      <c r="K227" s="6"/>
      <c r="O227" s="19"/>
      <c r="S227" s="19"/>
    </row>
    <row r="228" spans="2:19" ht="10.5" hidden="1">
      <c r="B228" s="7" t="s">
        <v>119</v>
      </c>
      <c r="F228" s="18"/>
      <c r="G228" s="19">
        <f>'Текущие концовки'!F83</f>
        <v>27227.28</v>
      </c>
      <c r="H228" s="19"/>
      <c r="I228" s="19"/>
      <c r="K228" s="6"/>
      <c r="O228" s="19"/>
      <c r="S228" s="19"/>
    </row>
    <row r="229" spans="2:19" ht="10.5" hidden="1">
      <c r="B229" s="7" t="s">
        <v>120</v>
      </c>
      <c r="F229" s="18"/>
      <c r="G229" s="19">
        <f>'Текущие концовки'!F84</f>
        <v>58337.83</v>
      </c>
      <c r="H229" s="19"/>
      <c r="I229" s="19"/>
      <c r="K229" s="6"/>
      <c r="O229" s="19"/>
      <c r="S229" s="19"/>
    </row>
    <row r="230" spans="2:19" ht="10.5" hidden="1">
      <c r="B230" s="7" t="s">
        <v>121</v>
      </c>
      <c r="F230" s="18"/>
      <c r="G230" s="19"/>
      <c r="H230" s="19"/>
      <c r="I230" s="19"/>
      <c r="K230" s="6">
        <f>'Текущие концовки'!J85</f>
        <v>183.567436</v>
      </c>
      <c r="O230" s="19"/>
      <c r="S230" s="19"/>
    </row>
    <row r="231" spans="2:19" ht="10.5" hidden="1">
      <c r="B231" s="7" t="s">
        <v>122</v>
      </c>
      <c r="F231" s="18"/>
      <c r="G231" s="19"/>
      <c r="H231" s="19"/>
      <c r="I231" s="19"/>
      <c r="K231" s="6">
        <f>'Текущие концовки'!J86</f>
        <v>115.71791261</v>
      </c>
      <c r="O231" s="19"/>
      <c r="S231" s="19"/>
    </row>
    <row r="232" spans="2:19" ht="10.5" hidden="1">
      <c r="B232" s="7" t="s">
        <v>123</v>
      </c>
      <c r="F232" s="18"/>
      <c r="G232" s="19"/>
      <c r="H232" s="19"/>
      <c r="I232" s="19"/>
      <c r="K232" s="6">
        <f>'Текущие концовки'!J87</f>
        <v>299.28534861</v>
      </c>
      <c r="O232" s="19"/>
      <c r="S232" s="19"/>
    </row>
    <row r="234" spans="2:11" ht="10.5">
      <c r="B234" s="4" t="s">
        <v>124</v>
      </c>
      <c r="C234" s="35"/>
      <c r="D234" s="35"/>
      <c r="E234" s="35"/>
      <c r="F234" s="35"/>
      <c r="G234" s="35"/>
      <c r="H234" s="35"/>
      <c r="I234" s="35"/>
      <c r="J234" s="35"/>
      <c r="K234" s="35"/>
    </row>
    <row r="235" spans="3:13" ht="10.5">
      <c r="C235" s="33" t="s">
        <v>125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/>
    </row>
    <row r="237" spans="2:11" ht="10.5">
      <c r="B237" s="4" t="s">
        <v>126</v>
      </c>
      <c r="C237" s="35"/>
      <c r="D237" s="35"/>
      <c r="E237" s="35"/>
      <c r="F237" s="35"/>
      <c r="G237" s="35"/>
      <c r="H237" s="35"/>
      <c r="I237" s="35"/>
      <c r="J237" s="35"/>
      <c r="K237" s="35"/>
    </row>
    <row r="238" spans="3:13" ht="10.5">
      <c r="C238" s="33" t="s">
        <v>125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</row>
    <row r="239" ht="10.5">
      <c r="A239" s="22"/>
    </row>
  </sheetData>
  <sheetProtection/>
  <mergeCells count="75">
    <mergeCell ref="A5:K5"/>
    <mergeCell ref="A6:K6"/>
    <mergeCell ref="A7:K7"/>
    <mergeCell ref="A11:K11"/>
    <mergeCell ref="A13:A15"/>
    <mergeCell ref="B13:B15"/>
    <mergeCell ref="C13:C15"/>
    <mergeCell ref="D13:D15"/>
    <mergeCell ref="E13:F13"/>
    <mergeCell ref="G14:G15"/>
    <mergeCell ref="H14:H15"/>
    <mergeCell ref="G13:I13"/>
    <mergeCell ref="J13:K13"/>
    <mergeCell ref="J14:K14"/>
    <mergeCell ref="A18:A19"/>
    <mergeCell ref="B18:B19"/>
    <mergeCell ref="C18:C19"/>
    <mergeCell ref="D18:D19"/>
    <mergeCell ref="H18:H19"/>
    <mergeCell ref="O18:O19"/>
    <mergeCell ref="G18:G19"/>
    <mergeCell ref="A40:A41"/>
    <mergeCell ref="B40:B41"/>
    <mergeCell ref="C40:C41"/>
    <mergeCell ref="D40:D41"/>
    <mergeCell ref="H40:H41"/>
    <mergeCell ref="O40:O41"/>
    <mergeCell ref="G40:G41"/>
    <mergeCell ref="A62:A63"/>
    <mergeCell ref="B62:B63"/>
    <mergeCell ref="C62:C63"/>
    <mergeCell ref="D62:D63"/>
    <mergeCell ref="H62:H63"/>
    <mergeCell ref="O62:O63"/>
    <mergeCell ref="G62:G63"/>
    <mergeCell ref="A84:A85"/>
    <mergeCell ref="B84:B85"/>
    <mergeCell ref="C84:C85"/>
    <mergeCell ref="D84:D85"/>
    <mergeCell ref="H84:H85"/>
    <mergeCell ref="O84:O85"/>
    <mergeCell ref="G84:G85"/>
    <mergeCell ref="A106:A107"/>
    <mergeCell ref="B106:B107"/>
    <mergeCell ref="C106:C107"/>
    <mergeCell ref="D106:D107"/>
    <mergeCell ref="H106:H107"/>
    <mergeCell ref="O106:O107"/>
    <mergeCell ref="G106:G107"/>
    <mergeCell ref="A128:A129"/>
    <mergeCell ref="B128:B129"/>
    <mergeCell ref="C128:C129"/>
    <mergeCell ref="D128:D129"/>
    <mergeCell ref="H128:H129"/>
    <mergeCell ref="O128:O129"/>
    <mergeCell ref="G128:G129"/>
    <mergeCell ref="O172:O173"/>
    <mergeCell ref="J172:J173"/>
    <mergeCell ref="S172:S173"/>
    <mergeCell ref="F150:F151"/>
    <mergeCell ref="G150:G151"/>
    <mergeCell ref="H150:H151"/>
    <mergeCell ref="O150:O151"/>
    <mergeCell ref="J150:J151"/>
    <mergeCell ref="S150:S151"/>
    <mergeCell ref="C238:M238"/>
    <mergeCell ref="I8:J8"/>
    <mergeCell ref="I9:J9"/>
    <mergeCell ref="I10:J10"/>
    <mergeCell ref="C234:K234"/>
    <mergeCell ref="C235:M235"/>
    <mergeCell ref="C237:K237"/>
    <mergeCell ref="F172:F173"/>
    <mergeCell ref="G172:G173"/>
    <mergeCell ref="H172:H173"/>
  </mergeCells>
  <printOptions/>
  <pageMargins left="0.39370078740157477" right="0.39370078740157477" top="0.7874015748031495" bottom="0.39370078740157477" header="0.7874015748031495" footer="0.39370078740157477"/>
  <pageSetup horizontalDpi="600" verticalDpi="600" orientation="landscape" paperSize="9" scale="92" r:id="rId1"/>
  <rowBreaks count="1" manualBreakCount="1"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E1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1" s="25" customFormat="1" ht="10.5">
      <c r="A1" s="6"/>
      <c r="B1" s="25" t="s">
        <v>127</v>
      </c>
      <c r="C1" s="25" t="s">
        <v>128</v>
      </c>
      <c r="D1" s="25" t="s">
        <v>129</v>
      </c>
      <c r="E1" s="25" t="s">
        <v>130</v>
      </c>
      <c r="F1" s="25" t="s">
        <v>131</v>
      </c>
      <c r="G1" s="25" t="s">
        <v>132</v>
      </c>
      <c r="H1" s="25" t="s">
        <v>133</v>
      </c>
      <c r="I1" s="25" t="s">
        <v>134</v>
      </c>
      <c r="J1" s="25" t="s">
        <v>135</v>
      </c>
      <c r="K1" s="25" t="s">
        <v>136</v>
      </c>
      <c r="L1" s="25" t="s">
        <v>137</v>
      </c>
      <c r="M1" s="25" t="s">
        <v>138</v>
      </c>
      <c r="N1" s="25" t="s">
        <v>139</v>
      </c>
      <c r="O1" s="25" t="s">
        <v>140</v>
      </c>
      <c r="P1" s="25" t="s">
        <v>141</v>
      </c>
      <c r="Q1" s="25" t="s">
        <v>142</v>
      </c>
      <c r="R1" s="25" t="s">
        <v>143</v>
      </c>
      <c r="S1" s="25" t="s">
        <v>144</v>
      </c>
      <c r="T1" s="25" t="s">
        <v>145</v>
      </c>
      <c r="U1" s="25" t="s">
        <v>146</v>
      </c>
      <c r="V1" s="25" t="s">
        <v>147</v>
      </c>
      <c r="X1" s="25" t="s">
        <v>148</v>
      </c>
      <c r="Y1" s="25" t="s">
        <v>149</v>
      </c>
      <c r="Z1" s="25" t="s">
        <v>150</v>
      </c>
      <c r="AA1" s="25" t="s">
        <v>151</v>
      </c>
      <c r="AB1" s="25" t="s">
        <v>152</v>
      </c>
      <c r="AC1" s="25" t="s">
        <v>153</v>
      </c>
      <c r="AD1" s="25" t="s">
        <v>154</v>
      </c>
      <c r="AE1" s="25" t="s">
        <v>155</v>
      </c>
    </row>
    <row r="2" spans="1:11" ht="10.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0.5">
      <c r="A3" s="26"/>
      <c r="B3" s="53" t="s">
        <v>156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0.5">
      <c r="A4" s="26"/>
      <c r="B4" s="53" t="s">
        <v>157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ht="10.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31" ht="10.5">
      <c r="A6" s="23" t="str">
        <f>'Форма 4'!A18</f>
        <v>1.</v>
      </c>
      <c r="B6" s="23">
        <f aca="true" t="shared" si="0" ref="B6:B11">ROUND(C6+D6+F6,2)</f>
        <v>0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4">
        <f>'Форма 4'!J18</f>
        <v>0</v>
      </c>
      <c r="J6" s="24">
        <v>0</v>
      </c>
      <c r="K6" s="24">
        <f>'Форма 4'!J19</f>
        <v>0.99</v>
      </c>
      <c r="L6" s="23">
        <v>0</v>
      </c>
      <c r="M6" s="23">
        <v>0</v>
      </c>
      <c r="N6" s="23">
        <v>0</v>
      </c>
      <c r="O6" s="23">
        <v>0</v>
      </c>
      <c r="P6" s="23">
        <v>0</v>
      </c>
      <c r="Q6" s="23">
        <v>0</v>
      </c>
      <c r="R6" s="23">
        <v>0</v>
      </c>
      <c r="S6" s="23">
        <v>0</v>
      </c>
      <c r="T6" s="23">
        <v>0</v>
      </c>
      <c r="U6" s="23">
        <v>0</v>
      </c>
      <c r="V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</row>
    <row r="7" spans="1:31" ht="10.5">
      <c r="A7" s="23" t="str">
        <f>'Форма 4'!A40</f>
        <v>2.</v>
      </c>
      <c r="B7" s="23">
        <f t="shared" si="0"/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4">
        <f>'Форма 4'!J40</f>
        <v>0</v>
      </c>
      <c r="J7" s="24">
        <v>0</v>
      </c>
      <c r="K7" s="24">
        <f>'Форма 4'!J41</f>
        <v>155.25</v>
      </c>
      <c r="L7" s="23">
        <v>0</v>
      </c>
      <c r="M7" s="23">
        <v>0</v>
      </c>
      <c r="N7" s="23">
        <v>0</v>
      </c>
      <c r="O7" s="23">
        <v>0</v>
      </c>
      <c r="P7" s="23">
        <v>0</v>
      </c>
      <c r="Q7" s="23">
        <v>0</v>
      </c>
      <c r="R7" s="23">
        <v>0</v>
      </c>
      <c r="S7" s="23">
        <v>0</v>
      </c>
      <c r="T7" s="23">
        <v>0</v>
      </c>
      <c r="U7" s="23">
        <v>0</v>
      </c>
      <c r="V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</row>
    <row r="8" spans="1:31" ht="10.5">
      <c r="A8" s="23" t="str">
        <f>'Форма 4'!A62</f>
        <v>3.</v>
      </c>
      <c r="B8" s="23">
        <f t="shared" si="0"/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4">
        <f>'Форма 4'!J62</f>
        <v>30.0426</v>
      </c>
      <c r="J8" s="24">
        <v>0</v>
      </c>
      <c r="K8" s="24">
        <f>'Форма 4'!J63</f>
        <v>32.25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</row>
    <row r="9" spans="1:31" ht="10.5">
      <c r="A9" s="23" t="str">
        <f>'Форма 4'!A84</f>
        <v>4.</v>
      </c>
      <c r="B9" s="23">
        <f t="shared" si="0"/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4">
        <f>'Форма 4'!J84</f>
        <v>0</v>
      </c>
      <c r="J9" s="24">
        <v>0</v>
      </c>
      <c r="K9" s="24">
        <f>'Форма 4'!J85</f>
        <v>0.99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</row>
    <row r="10" spans="1:31" ht="10.5">
      <c r="A10" s="23" t="str">
        <f>'Форма 4'!A106</f>
        <v>5.</v>
      </c>
      <c r="B10" s="23">
        <f t="shared" si="0"/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4">
        <f>'Форма 4'!J106</f>
        <v>0</v>
      </c>
      <c r="J10" s="24">
        <v>0</v>
      </c>
      <c r="K10" s="24">
        <f>'Форма 4'!J107</f>
        <v>155.25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</row>
    <row r="11" spans="1:31" ht="10.5">
      <c r="A11" s="23" t="str">
        <f>'Форма 4'!A128</f>
        <v>6.</v>
      </c>
      <c r="B11" s="23">
        <f t="shared" si="0"/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4">
        <f>'Форма 4'!J128</f>
        <v>52.854</v>
      </c>
      <c r="J11" s="24">
        <v>0</v>
      </c>
      <c r="K11" s="24">
        <f>'Форма 4'!J129</f>
        <v>28.62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</row>
  </sheetData>
  <sheetProtection/>
  <mergeCells count="4">
    <mergeCell ref="A2:K2"/>
    <mergeCell ref="B3:K3"/>
    <mergeCell ref="B4:K4"/>
    <mergeCell ref="A5:K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E1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1" s="25" customFormat="1" ht="10.5">
      <c r="A1" s="6"/>
      <c r="B1" s="25" t="s">
        <v>127</v>
      </c>
      <c r="C1" s="25" t="s">
        <v>128</v>
      </c>
      <c r="D1" s="25" t="s">
        <v>129</v>
      </c>
      <c r="E1" s="25" t="s">
        <v>130</v>
      </c>
      <c r="F1" s="25" t="s">
        <v>131</v>
      </c>
      <c r="G1" s="25" t="s">
        <v>132</v>
      </c>
      <c r="H1" s="25" t="s">
        <v>133</v>
      </c>
      <c r="I1" s="25" t="s">
        <v>134</v>
      </c>
      <c r="J1" s="25" t="s">
        <v>135</v>
      </c>
      <c r="K1" s="25" t="s">
        <v>136</v>
      </c>
      <c r="L1" s="25" t="s">
        <v>137</v>
      </c>
      <c r="M1" s="25" t="s">
        <v>138</v>
      </c>
      <c r="N1" s="25" t="s">
        <v>139</v>
      </c>
      <c r="O1" s="25" t="s">
        <v>140</v>
      </c>
      <c r="P1" s="25" t="s">
        <v>141</v>
      </c>
      <c r="Q1" s="25" t="s">
        <v>142</v>
      </c>
      <c r="R1" s="25" t="s">
        <v>143</v>
      </c>
      <c r="S1" s="25" t="s">
        <v>144</v>
      </c>
      <c r="T1" s="25" t="s">
        <v>145</v>
      </c>
      <c r="U1" s="25" t="s">
        <v>146</v>
      </c>
      <c r="V1" s="25" t="s">
        <v>147</v>
      </c>
      <c r="X1" s="25" t="s">
        <v>148</v>
      </c>
      <c r="Y1" s="25" t="s">
        <v>149</v>
      </c>
      <c r="Z1" s="25" t="s">
        <v>150</v>
      </c>
      <c r="AA1" s="25" t="s">
        <v>151</v>
      </c>
      <c r="AB1" s="25" t="s">
        <v>152</v>
      </c>
      <c r="AC1" s="25" t="s">
        <v>153</v>
      </c>
      <c r="AD1" s="25" t="s">
        <v>154</v>
      </c>
      <c r="AE1" s="25" t="s">
        <v>155</v>
      </c>
    </row>
    <row r="2" spans="1:11" ht="10.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0.5">
      <c r="A3" s="26"/>
      <c r="B3" s="53" t="s">
        <v>156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0.5">
      <c r="A4" s="26"/>
      <c r="B4" s="53" t="s">
        <v>157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ht="10.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31" ht="10.5">
      <c r="A6" s="23" t="str">
        <f>'Форма 4'!A18</f>
        <v>1.</v>
      </c>
      <c r="B6" s="23">
        <f aca="true" t="shared" si="0" ref="B6:B11">ROUND(C6+D6+F6,2)</f>
        <v>16741.37</v>
      </c>
      <c r="C6" s="23">
        <v>0</v>
      </c>
      <c r="D6" s="23">
        <v>467.56</v>
      </c>
      <c r="E6" s="23">
        <v>193.84</v>
      </c>
      <c r="F6" s="23">
        <v>16273.81</v>
      </c>
      <c r="G6" s="23">
        <v>0</v>
      </c>
      <c r="H6" s="23">
        <v>0</v>
      </c>
      <c r="I6" s="24">
        <f>'Форма 4'!J18</f>
        <v>0</v>
      </c>
      <c r="J6" s="24">
        <v>0</v>
      </c>
      <c r="K6" s="24">
        <f>'Форма 4'!J19</f>
        <v>0.99</v>
      </c>
      <c r="L6" s="23">
        <v>0</v>
      </c>
      <c r="M6" s="23">
        <v>0</v>
      </c>
      <c r="N6" s="23">
        <v>234.5464</v>
      </c>
      <c r="O6" s="23">
        <v>125.996</v>
      </c>
      <c r="P6" s="23">
        <v>0</v>
      </c>
      <c r="Q6" s="23">
        <v>234.5464</v>
      </c>
      <c r="R6" s="23">
        <v>0</v>
      </c>
      <c r="S6" s="23">
        <v>125.996</v>
      </c>
      <c r="T6" s="23">
        <v>0</v>
      </c>
      <c r="U6" s="23">
        <v>0</v>
      </c>
      <c r="V6" s="23">
        <v>0</v>
      </c>
      <c r="X6" s="23">
        <v>0</v>
      </c>
      <c r="Y6" s="23">
        <v>0</v>
      </c>
      <c r="Z6" s="23">
        <v>0</v>
      </c>
      <c r="AA6" s="23">
        <v>0</v>
      </c>
      <c r="AB6" s="23">
        <v>0</v>
      </c>
      <c r="AC6" s="23">
        <v>0</v>
      </c>
      <c r="AD6" s="23">
        <v>0</v>
      </c>
      <c r="AE6" s="23">
        <v>0</v>
      </c>
    </row>
    <row r="7" spans="1:31" ht="10.5">
      <c r="A7" s="23" t="str">
        <f>'Форма 4'!A40</f>
        <v>2.</v>
      </c>
      <c r="B7" s="23">
        <f t="shared" si="0"/>
        <v>67452.24</v>
      </c>
      <c r="C7" s="23">
        <v>0</v>
      </c>
      <c r="D7" s="23">
        <v>67452.24</v>
      </c>
      <c r="E7" s="23">
        <v>25648.85</v>
      </c>
      <c r="F7" s="23">
        <v>0</v>
      </c>
      <c r="G7" s="23">
        <v>0</v>
      </c>
      <c r="H7" s="23">
        <v>0</v>
      </c>
      <c r="I7" s="24">
        <f>'Форма 4'!J40</f>
        <v>0</v>
      </c>
      <c r="J7" s="24">
        <v>0</v>
      </c>
      <c r="K7" s="24">
        <f>'Форма 4'!J41</f>
        <v>155.25</v>
      </c>
      <c r="L7" s="23">
        <v>0</v>
      </c>
      <c r="M7" s="23">
        <v>0</v>
      </c>
      <c r="N7" s="23">
        <v>31035.1085</v>
      </c>
      <c r="O7" s="23">
        <v>16671.7525</v>
      </c>
      <c r="P7" s="23">
        <v>0</v>
      </c>
      <c r="Q7" s="23">
        <v>31035.1085</v>
      </c>
      <c r="R7" s="23">
        <v>0</v>
      </c>
      <c r="S7" s="23">
        <v>16671.7525</v>
      </c>
      <c r="T7" s="23">
        <v>0</v>
      </c>
      <c r="U7" s="23">
        <v>0</v>
      </c>
      <c r="V7" s="23">
        <v>0</v>
      </c>
      <c r="X7" s="23">
        <v>0</v>
      </c>
      <c r="Y7" s="23">
        <v>0</v>
      </c>
      <c r="Z7" s="23">
        <v>0</v>
      </c>
      <c r="AA7" s="23">
        <v>0</v>
      </c>
      <c r="AB7" s="23">
        <v>0</v>
      </c>
      <c r="AC7" s="23">
        <v>0</v>
      </c>
      <c r="AD7" s="23">
        <v>0</v>
      </c>
      <c r="AE7" s="23">
        <v>0</v>
      </c>
    </row>
    <row r="8" spans="1:31" ht="10.5">
      <c r="A8" s="23" t="str">
        <f>'Форма 4'!A62</f>
        <v>3.</v>
      </c>
      <c r="B8" s="23">
        <f t="shared" si="0"/>
        <v>288095.83</v>
      </c>
      <c r="C8" s="23">
        <v>5160.42</v>
      </c>
      <c r="D8" s="23">
        <v>27227.67</v>
      </c>
      <c r="E8" s="23">
        <v>7656.78</v>
      </c>
      <c r="F8" s="23">
        <v>255707.74</v>
      </c>
      <c r="G8" s="23">
        <v>0</v>
      </c>
      <c r="H8" s="23">
        <v>0</v>
      </c>
      <c r="I8" s="24">
        <f>'Форма 4'!J62</f>
        <v>30.0426</v>
      </c>
      <c r="J8" s="24">
        <v>0</v>
      </c>
      <c r="K8" s="24">
        <f>'Форма 4'!J63</f>
        <v>32.25</v>
      </c>
      <c r="L8" s="23">
        <v>0</v>
      </c>
      <c r="M8" s="23">
        <v>0</v>
      </c>
      <c r="N8" s="23">
        <v>15508.812</v>
      </c>
      <c r="O8" s="23">
        <v>8331.18</v>
      </c>
      <c r="P8" s="23">
        <v>6244.1082</v>
      </c>
      <c r="Q8" s="23">
        <v>9264.7038</v>
      </c>
      <c r="R8" s="23">
        <v>3354.273</v>
      </c>
      <c r="S8" s="23">
        <v>4976.907</v>
      </c>
      <c r="T8" s="23">
        <v>0</v>
      </c>
      <c r="U8" s="23">
        <v>0</v>
      </c>
      <c r="V8" s="23">
        <v>0</v>
      </c>
      <c r="X8" s="23">
        <v>0</v>
      </c>
      <c r="Y8" s="23">
        <v>0</v>
      </c>
      <c r="Z8" s="23">
        <v>0</v>
      </c>
      <c r="AA8" s="23">
        <v>0</v>
      </c>
      <c r="AB8" s="23">
        <v>0</v>
      </c>
      <c r="AC8" s="23">
        <v>0</v>
      </c>
      <c r="AD8" s="23">
        <v>0</v>
      </c>
      <c r="AE8" s="23">
        <v>0</v>
      </c>
    </row>
    <row r="9" spans="1:31" ht="10.5">
      <c r="A9" s="23" t="str">
        <f>'Форма 4'!A84</f>
        <v>4.</v>
      </c>
      <c r="B9" s="23">
        <f t="shared" si="0"/>
        <v>16741.37</v>
      </c>
      <c r="C9" s="23">
        <v>0</v>
      </c>
      <c r="D9" s="23">
        <v>467.56</v>
      </c>
      <c r="E9" s="23">
        <v>193.84</v>
      </c>
      <c r="F9" s="23">
        <v>16273.81</v>
      </c>
      <c r="G9" s="23">
        <v>0</v>
      </c>
      <c r="H9" s="23">
        <v>0</v>
      </c>
      <c r="I9" s="24">
        <f>'Форма 4'!J84</f>
        <v>0</v>
      </c>
      <c r="J9" s="24">
        <v>0</v>
      </c>
      <c r="K9" s="24">
        <f>'Форма 4'!J85</f>
        <v>0.99</v>
      </c>
      <c r="L9" s="23">
        <v>0</v>
      </c>
      <c r="M9" s="23">
        <v>0</v>
      </c>
      <c r="N9" s="23">
        <v>234.5464</v>
      </c>
      <c r="O9" s="23">
        <v>125.996</v>
      </c>
      <c r="P9" s="23">
        <v>0</v>
      </c>
      <c r="Q9" s="23">
        <v>234.5464</v>
      </c>
      <c r="R9" s="23">
        <v>0</v>
      </c>
      <c r="S9" s="23">
        <v>125.996</v>
      </c>
      <c r="T9" s="23">
        <v>0</v>
      </c>
      <c r="U9" s="23">
        <v>0</v>
      </c>
      <c r="V9" s="23">
        <v>0</v>
      </c>
      <c r="X9" s="23">
        <v>0</v>
      </c>
      <c r="Y9" s="23">
        <v>0</v>
      </c>
      <c r="Z9" s="23">
        <v>0</v>
      </c>
      <c r="AA9" s="23">
        <v>0</v>
      </c>
      <c r="AB9" s="23">
        <v>0</v>
      </c>
      <c r="AC9" s="23">
        <v>0</v>
      </c>
      <c r="AD9" s="23">
        <v>0</v>
      </c>
      <c r="AE9" s="23">
        <v>0</v>
      </c>
    </row>
    <row r="10" spans="1:31" ht="10.5">
      <c r="A10" s="23" t="str">
        <f>'Форма 4'!A106</f>
        <v>5.</v>
      </c>
      <c r="B10" s="23">
        <f t="shared" si="0"/>
        <v>67452.24</v>
      </c>
      <c r="C10" s="23">
        <v>0</v>
      </c>
      <c r="D10" s="23">
        <v>67452.24</v>
      </c>
      <c r="E10" s="23">
        <v>25648.85</v>
      </c>
      <c r="F10" s="23">
        <v>0</v>
      </c>
      <c r="G10" s="23">
        <v>0</v>
      </c>
      <c r="H10" s="23">
        <v>0</v>
      </c>
      <c r="I10" s="24">
        <f>'Форма 4'!J106</f>
        <v>0</v>
      </c>
      <c r="J10" s="24">
        <v>0</v>
      </c>
      <c r="K10" s="24">
        <f>'Форма 4'!J107</f>
        <v>155.25</v>
      </c>
      <c r="L10" s="23">
        <v>0</v>
      </c>
      <c r="M10" s="23">
        <v>0</v>
      </c>
      <c r="N10" s="23">
        <v>31035.1085</v>
      </c>
      <c r="O10" s="23">
        <v>16671.7525</v>
      </c>
      <c r="P10" s="23">
        <v>0</v>
      </c>
      <c r="Q10" s="23">
        <v>31035.1085</v>
      </c>
      <c r="R10" s="23">
        <v>0</v>
      </c>
      <c r="S10" s="23">
        <v>16671.7525</v>
      </c>
      <c r="T10" s="23">
        <v>0</v>
      </c>
      <c r="U10" s="23">
        <v>0</v>
      </c>
      <c r="V10" s="23">
        <v>0</v>
      </c>
      <c r="X10" s="23">
        <v>0</v>
      </c>
      <c r="Y10" s="23">
        <v>0</v>
      </c>
      <c r="Z10" s="23">
        <v>0</v>
      </c>
      <c r="AA10" s="23">
        <v>0</v>
      </c>
      <c r="AB10" s="23">
        <v>0</v>
      </c>
      <c r="AC10" s="23">
        <v>0</v>
      </c>
      <c r="AD10" s="23">
        <v>0</v>
      </c>
      <c r="AE10" s="23">
        <v>0</v>
      </c>
    </row>
    <row r="11" spans="1:31" ht="10.5">
      <c r="A11" s="23" t="str">
        <f>'Форма 4'!A128</f>
        <v>6.</v>
      </c>
      <c r="B11" s="23">
        <f t="shared" si="0"/>
        <v>278155.92</v>
      </c>
      <c r="C11" s="23">
        <v>8937.61</v>
      </c>
      <c r="D11" s="23">
        <v>24324.2</v>
      </c>
      <c r="E11" s="23">
        <v>6763.23</v>
      </c>
      <c r="F11" s="23">
        <v>244894.11</v>
      </c>
      <c r="G11" s="23">
        <v>0</v>
      </c>
      <c r="H11" s="23">
        <v>0</v>
      </c>
      <c r="I11" s="24">
        <f>'Форма 4'!J128</f>
        <v>52.854</v>
      </c>
      <c r="J11" s="24">
        <v>0</v>
      </c>
      <c r="K11" s="24">
        <f>'Форма 4'!J129</f>
        <v>28.62</v>
      </c>
      <c r="L11" s="23">
        <v>0</v>
      </c>
      <c r="M11" s="23">
        <v>0</v>
      </c>
      <c r="N11" s="23">
        <v>18998.0164</v>
      </c>
      <c r="O11" s="23">
        <v>10205.546</v>
      </c>
      <c r="P11" s="23">
        <v>10814.5081</v>
      </c>
      <c r="Q11" s="23">
        <v>8183.5083</v>
      </c>
      <c r="R11" s="23">
        <v>5809.4465</v>
      </c>
      <c r="S11" s="23">
        <v>4396.0995</v>
      </c>
      <c r="T11" s="23">
        <v>0</v>
      </c>
      <c r="U11" s="23">
        <v>0</v>
      </c>
      <c r="V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</row>
  </sheetData>
  <sheetProtection/>
  <mergeCells count="4">
    <mergeCell ref="A2:K2"/>
    <mergeCell ref="B3:K3"/>
    <mergeCell ref="B4:K4"/>
    <mergeCell ref="A5:K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E1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5.7109375" style="24" customWidth="1"/>
    <col min="2" max="16384" width="9.140625" style="23" customWidth="1"/>
  </cols>
  <sheetData>
    <row r="1" spans="1:31" s="25" customFormat="1" ht="10.5">
      <c r="A1" s="6"/>
      <c r="B1" s="25" t="s">
        <v>127</v>
      </c>
      <c r="C1" s="25" t="s">
        <v>128</v>
      </c>
      <c r="D1" s="25" t="s">
        <v>129</v>
      </c>
      <c r="E1" s="25" t="s">
        <v>130</v>
      </c>
      <c r="F1" s="25" t="s">
        <v>131</v>
      </c>
      <c r="G1" s="25" t="s">
        <v>132</v>
      </c>
      <c r="H1" s="25" t="s">
        <v>133</v>
      </c>
      <c r="I1" s="25" t="s">
        <v>134</v>
      </c>
      <c r="J1" s="25" t="s">
        <v>135</v>
      </c>
      <c r="K1" s="25" t="s">
        <v>136</v>
      </c>
      <c r="L1" s="25" t="s">
        <v>137</v>
      </c>
      <c r="M1" s="25" t="s">
        <v>138</v>
      </c>
      <c r="N1" s="25" t="s">
        <v>139</v>
      </c>
      <c r="O1" s="25" t="s">
        <v>140</v>
      </c>
      <c r="P1" s="25" t="s">
        <v>141</v>
      </c>
      <c r="Q1" s="25" t="s">
        <v>142</v>
      </c>
      <c r="R1" s="25" t="s">
        <v>143</v>
      </c>
      <c r="S1" s="25" t="s">
        <v>144</v>
      </c>
      <c r="T1" s="25" t="s">
        <v>145</v>
      </c>
      <c r="U1" s="25" t="s">
        <v>146</v>
      </c>
      <c r="V1" s="25" t="s">
        <v>147</v>
      </c>
      <c r="X1" s="25" t="s">
        <v>148</v>
      </c>
      <c r="Y1" s="25" t="s">
        <v>149</v>
      </c>
      <c r="Z1" s="25" t="s">
        <v>150</v>
      </c>
      <c r="AA1" s="25" t="s">
        <v>151</v>
      </c>
      <c r="AB1" s="25" t="s">
        <v>152</v>
      </c>
      <c r="AC1" s="25" t="s">
        <v>153</v>
      </c>
      <c r="AD1" s="25" t="s">
        <v>154</v>
      </c>
      <c r="AE1" s="25" t="s">
        <v>155</v>
      </c>
    </row>
    <row r="2" spans="1:11" ht="10.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0.5">
      <c r="A3" s="26"/>
      <c r="B3" s="53" t="s">
        <v>156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0.5">
      <c r="A4" s="26"/>
      <c r="B4" s="53" t="s">
        <v>157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ht="10.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31" ht="10.5">
      <c r="A6" s="23" t="str">
        <f>'Форма 4'!A18</f>
        <v>1.</v>
      </c>
      <c r="B6" s="23">
        <f aca="true" t="shared" si="0" ref="B6:B11">ROUND(C6+D6+F6,2)</f>
        <v>3743.37</v>
      </c>
      <c r="C6" s="23">
        <f>ROUND('Форма 4'!D18*'Текущие цены за единицу'!C6,2)</f>
        <v>0</v>
      </c>
      <c r="D6" s="23">
        <f>ROUND('Форма 4'!D18*'Текущие цены за единицу'!D6,2)</f>
        <v>104.55</v>
      </c>
      <c r="E6" s="23">
        <f>ROUND('Форма 4'!D18*'Текущие цены за единицу'!E6,2)</f>
        <v>43.34</v>
      </c>
      <c r="F6" s="23">
        <f>ROUND('Форма 4'!D18*'Текущие цены за единицу'!F6,2)</f>
        <v>3638.82</v>
      </c>
      <c r="G6" s="23">
        <f>ROUND('Форма 4'!D18*'Текущие цены за единицу'!G6,2)</f>
        <v>0</v>
      </c>
      <c r="H6" s="23">
        <f>ROUND('Форма 4'!D18*'Текущие цены за единицу'!H6,2)</f>
        <v>0</v>
      </c>
      <c r="I6" s="27">
        <f>ОКРУГЛВСЕ('Форма 4'!D18*'Текущие цены за единицу'!I6,8)</f>
        <v>0</v>
      </c>
      <c r="J6" s="24">
        <f>ОКРУГЛВСЕ('Форма 4'!D18*'Текущие цены за единицу'!J6,8)</f>
        <v>0</v>
      </c>
      <c r="K6" s="27">
        <f>ОКРУГЛВСЕ('Форма 4'!D18*'Текущие цены за единицу'!K6,8)</f>
        <v>0.221364</v>
      </c>
      <c r="L6" s="23">
        <f>ROUND('Форма 4'!D18*'Текущие цены за единицу'!L6,2)</f>
        <v>0</v>
      </c>
      <c r="M6" s="23">
        <f>ROUND('Форма 4'!D18*'Текущие цены за единицу'!M6,2)</f>
        <v>0</v>
      </c>
      <c r="N6" s="23">
        <f>ROUND((C6+E6)*'Форма 4'!D30/100,2)</f>
        <v>52.44</v>
      </c>
      <c r="O6" s="23">
        <f>ROUND((C6+E6)*'Форма 4'!D34/100,2)</f>
        <v>28.17</v>
      </c>
      <c r="P6" s="23">
        <f>ROUND('Форма 4'!D18*'Текущие цены за единицу'!P6,2)</f>
        <v>0</v>
      </c>
      <c r="Q6" s="23">
        <f>ROUND('Форма 4'!D18*'Текущие цены за единицу'!Q6,2)</f>
        <v>52.44</v>
      </c>
      <c r="R6" s="23">
        <f>ROUND('Форма 4'!D18*'Текущие цены за единицу'!R6,2)</f>
        <v>0</v>
      </c>
      <c r="S6" s="23">
        <f>ROUND('Форма 4'!D18*'Текущие цены за единицу'!S6,2)</f>
        <v>28.17</v>
      </c>
      <c r="T6" s="23">
        <f>ROUND('Форма 4'!D18*'Текущие цены за единицу'!T6,2)</f>
        <v>0</v>
      </c>
      <c r="U6" s="23">
        <f>ROUND('Форма 4'!D18*'Текущие цены за единицу'!U6,2)</f>
        <v>0</v>
      </c>
      <c r="V6" s="23">
        <f>ROUND('Форма 4'!D18*'Текущие цены за единицу'!V6,2)</f>
        <v>0</v>
      </c>
      <c r="X6" s="23">
        <f>ROUND('Форма 4'!D18*'Текущие цены за единицу'!X6,2)</f>
        <v>0</v>
      </c>
      <c r="Y6" s="23">
        <f>IF(Определители!I6="9",ROUND((C6+E6)*(Начисления!M6/100)*('Форма 4'!D30/100),2),0)</f>
        <v>0</v>
      </c>
      <c r="Z6" s="23">
        <f>IF(Определители!I6="9",ROUND((C6+E6)*(100-Начисления!M6/100)*('Форма 4'!D30/100),2),0)</f>
        <v>0</v>
      </c>
      <c r="AA6" s="23">
        <f>IF(Определители!I6="9",ROUND((C6+E6)*(Начисления!M6/100)*('Форма 4'!D34/100),2),0)</f>
        <v>0</v>
      </c>
      <c r="AB6" s="23">
        <f>IF(Определители!I6="9",ROUND((C6+E6)*(100-Начисления!M6/100)*('Форма 4'!D34/100),2),0)</f>
        <v>0</v>
      </c>
      <c r="AC6" s="23">
        <f>IF(Определители!I6="9",ROUND(B6*Начисления!M6/100,2),0)</f>
        <v>0</v>
      </c>
      <c r="AD6" s="23">
        <f>IF(Определители!I6="9",ROUND(B6*(100-Начисления!M6)/100,2),0)</f>
        <v>0</v>
      </c>
      <c r="AE6" s="23">
        <f>ROUND('Форма 4'!D18*'Текущие цены за единицу'!AE6,2)</f>
        <v>0</v>
      </c>
    </row>
    <row r="7" spans="1:31" ht="10.5">
      <c r="A7" s="23" t="str">
        <f>'Форма 4'!A40</f>
        <v>2.</v>
      </c>
      <c r="B7" s="23">
        <f t="shared" si="0"/>
        <v>155.35</v>
      </c>
      <c r="C7" s="23">
        <f>ROUND('Форма 4'!D40*'Текущие цены за единицу'!C7,2)</f>
        <v>0</v>
      </c>
      <c r="D7" s="23">
        <f>ROUND('Форма 4'!D40*'Текущие цены за единицу'!D7,2)</f>
        <v>155.35</v>
      </c>
      <c r="E7" s="23">
        <f>ROUND('Форма 4'!D40*'Текущие цены за единицу'!E7,2)</f>
        <v>59.07</v>
      </c>
      <c r="F7" s="23">
        <f>ROUND('Форма 4'!D40*'Текущие цены за единицу'!F7,2)</f>
        <v>0</v>
      </c>
      <c r="G7" s="23">
        <f>ROUND('Форма 4'!D40*'Текущие цены за единицу'!G7,2)</f>
        <v>0</v>
      </c>
      <c r="H7" s="23">
        <f>ROUND('Форма 4'!D40*'Текущие цены за единицу'!H7,2)</f>
        <v>0</v>
      </c>
      <c r="I7" s="27">
        <f>ОКРУГЛВСЕ('Форма 4'!D40*'Текущие цены за единицу'!I7,8)</f>
        <v>0</v>
      </c>
      <c r="J7" s="24">
        <f>ОКРУГЛВСЕ('Форма 4'!D40*'Текущие цены за единицу'!J7,8)</f>
        <v>0</v>
      </c>
      <c r="K7" s="27">
        <f>ОКРУГЛВСЕ('Форма 4'!D40*'Текущие цены за единицу'!K7,8)</f>
        <v>0.3575532</v>
      </c>
      <c r="L7" s="23">
        <f>ROUND('Форма 4'!D40*'Текущие цены за единицу'!L7,2)</f>
        <v>0</v>
      </c>
      <c r="M7" s="23">
        <f>ROUND('Форма 4'!D40*'Текущие цены за единицу'!M7,2)</f>
        <v>0</v>
      </c>
      <c r="N7" s="23">
        <f>ROUND((C7+E7)*'Форма 4'!D52/100,2)</f>
        <v>71.47</v>
      </c>
      <c r="O7" s="23">
        <f>ROUND((C7+E7)*'Форма 4'!D56/100,2)</f>
        <v>38.4</v>
      </c>
      <c r="P7" s="23">
        <f>ROUND('Форма 4'!D40*'Текущие цены за единицу'!P7,2)</f>
        <v>0</v>
      </c>
      <c r="Q7" s="23">
        <f>ROUND('Форма 4'!D40*'Текущие цены за единицу'!Q7,2)</f>
        <v>71.48</v>
      </c>
      <c r="R7" s="23">
        <f>ROUND('Форма 4'!D40*'Текущие цены за единицу'!R7,2)</f>
        <v>0</v>
      </c>
      <c r="S7" s="23">
        <f>ROUND('Форма 4'!D40*'Текущие цены за единицу'!S7,2)</f>
        <v>38.4</v>
      </c>
      <c r="T7" s="23">
        <f>ROUND('Форма 4'!D40*'Текущие цены за единицу'!T7,2)</f>
        <v>0</v>
      </c>
      <c r="U7" s="23">
        <f>ROUND('Форма 4'!D40*'Текущие цены за единицу'!U7,2)</f>
        <v>0</v>
      </c>
      <c r="V7" s="23">
        <f>ROUND('Форма 4'!D40*'Текущие цены за единицу'!V7,2)</f>
        <v>0</v>
      </c>
      <c r="X7" s="23">
        <f>ROUND('Форма 4'!D40*'Текущие цены за единицу'!X7,2)</f>
        <v>0</v>
      </c>
      <c r="Y7" s="23">
        <f>IF(Определители!I7="9",ROUND((C7+E7)*(Начисления!M7/100)*('Форма 4'!D52/100),2),0)</f>
        <v>0</v>
      </c>
      <c r="Z7" s="23">
        <f>IF(Определители!I7="9",ROUND((C7+E7)*(100-Начисления!M7/100)*('Форма 4'!D52/100),2),0)</f>
        <v>0</v>
      </c>
      <c r="AA7" s="23">
        <f>IF(Определители!I7="9",ROUND((C7+E7)*(Начисления!M7/100)*('Форма 4'!D56/100),2),0)</f>
        <v>0</v>
      </c>
      <c r="AB7" s="23">
        <f>IF(Определители!I7="9",ROUND((C7+E7)*(100-Начисления!M7/100)*('Форма 4'!D56/100),2),0)</f>
        <v>0</v>
      </c>
      <c r="AC7" s="23">
        <f>IF(Определители!I7="9",ROUND(B7*Начисления!M7/100,2),0)</f>
        <v>0</v>
      </c>
      <c r="AD7" s="23">
        <f>IF(Определители!I7="9",ROUND(B7*(100-Начисления!M7)/100,2),0)</f>
        <v>0</v>
      </c>
      <c r="AE7" s="23">
        <f>ROUND('Форма 4'!D40*'Текущие цены за единицу'!AE7,2)</f>
        <v>0</v>
      </c>
    </row>
    <row r="8" spans="1:31" ht="10.5">
      <c r="A8" s="23" t="str">
        <f>'Форма 4'!A62</f>
        <v>3.</v>
      </c>
      <c r="B8" s="23">
        <f t="shared" si="0"/>
        <v>248914.8</v>
      </c>
      <c r="C8" s="23">
        <f>ROUND('Форма 4'!D62*'Текущие цены за единицу'!C8,2)</f>
        <v>4458.6</v>
      </c>
      <c r="D8" s="23">
        <f>ROUND('Форма 4'!D62*'Текущие цены за единицу'!D8,2)</f>
        <v>23524.71</v>
      </c>
      <c r="E8" s="23">
        <f>ROUND('Форма 4'!D62*'Текущие цены за единицу'!E8,2)</f>
        <v>6615.46</v>
      </c>
      <c r="F8" s="23">
        <f>ROUND('Форма 4'!D62*'Текущие цены за единицу'!F8,2)</f>
        <v>220931.49</v>
      </c>
      <c r="G8" s="23">
        <f>ROUND('Форма 4'!D62*'Текущие цены за единицу'!G8,2)</f>
        <v>0</v>
      </c>
      <c r="H8" s="23">
        <f>ROUND('Форма 4'!D62*'Текущие цены за единицу'!H8,2)</f>
        <v>0</v>
      </c>
      <c r="I8" s="27">
        <f>ОКРУГЛВСЕ('Форма 4'!D62*'Текущие цены за единицу'!I8,8)</f>
        <v>25.956806</v>
      </c>
      <c r="J8" s="24">
        <f>ОКРУГЛВСЕ('Форма 4'!D62*'Текущие цены за единицу'!J8,8)</f>
        <v>0</v>
      </c>
      <c r="K8" s="27">
        <f>ОКРУГЛВСЕ('Форма 4'!D62*'Текущие цены за единицу'!K8,8)</f>
        <v>27.864</v>
      </c>
      <c r="L8" s="23">
        <f>ROUND('Форма 4'!D62*'Текущие цены за единицу'!L8,2)</f>
        <v>0</v>
      </c>
      <c r="M8" s="23">
        <f>ROUND('Форма 4'!D62*'Текущие цены за единицу'!M8,2)</f>
        <v>0</v>
      </c>
      <c r="N8" s="23">
        <f>ROUND((C8+E8)*'Форма 4'!D74/100,2)</f>
        <v>13399.61</v>
      </c>
      <c r="O8" s="23">
        <f>ROUND((C8+E8)*'Форма 4'!D78/100,2)</f>
        <v>7198.14</v>
      </c>
      <c r="P8" s="23">
        <f>ROUND('Форма 4'!D62*'Текущие цены за единицу'!P8,2)</f>
        <v>5394.91</v>
      </c>
      <c r="Q8" s="23">
        <f>ROUND('Форма 4'!D62*'Текущие цены за единицу'!Q8,2)</f>
        <v>8004.7</v>
      </c>
      <c r="R8" s="23">
        <f>ROUND('Форма 4'!D62*'Текущие цены за единицу'!R8,2)</f>
        <v>2898.09</v>
      </c>
      <c r="S8" s="23">
        <f>ROUND('Форма 4'!D62*'Текущие цены за единицу'!S8,2)</f>
        <v>4300.05</v>
      </c>
      <c r="T8" s="23">
        <f>ROUND('Форма 4'!D62*'Текущие цены за единицу'!T8,2)</f>
        <v>0</v>
      </c>
      <c r="U8" s="23">
        <f>ROUND('Форма 4'!D62*'Текущие цены за единицу'!U8,2)</f>
        <v>0</v>
      </c>
      <c r="V8" s="23">
        <f>ROUND('Форма 4'!D62*'Текущие цены за единицу'!V8,2)</f>
        <v>0</v>
      </c>
      <c r="X8" s="23">
        <f>ROUND('Форма 4'!D62*'Текущие цены за единицу'!X8,2)</f>
        <v>0</v>
      </c>
      <c r="Y8" s="23">
        <f>IF(Определители!I8="9",ROUND((C8+E8)*(Начисления!M8/100)*('Форма 4'!D74/100),2),0)</f>
        <v>0</v>
      </c>
      <c r="Z8" s="23">
        <f>IF(Определители!I8="9",ROUND((C8+E8)*(100-Начисления!M8/100)*('Форма 4'!D74/100),2),0)</f>
        <v>0</v>
      </c>
      <c r="AA8" s="23">
        <f>IF(Определители!I8="9",ROUND((C8+E8)*(Начисления!M8/100)*('Форма 4'!D78/100),2),0)</f>
        <v>0</v>
      </c>
      <c r="AB8" s="23">
        <f>IF(Определители!I8="9",ROUND((C8+E8)*(100-Начисления!M8/100)*('Форма 4'!D78/100),2),0)</f>
        <v>0</v>
      </c>
      <c r="AC8" s="23">
        <f>IF(Определители!I8="9",ROUND(B8*Начисления!M8/100,2),0)</f>
        <v>0</v>
      </c>
      <c r="AD8" s="23">
        <f>IF(Определители!I8="9",ROUND(B8*(100-Начисления!M8)/100,2),0)</f>
        <v>0</v>
      </c>
      <c r="AE8" s="23">
        <f>ROUND('Форма 4'!D62*'Текущие цены за единицу'!AE8,2)</f>
        <v>0</v>
      </c>
    </row>
    <row r="9" spans="1:31" ht="10.5">
      <c r="A9" s="23" t="str">
        <f>'Форма 4'!A84</f>
        <v>4.</v>
      </c>
      <c r="B9" s="23">
        <f t="shared" si="0"/>
        <v>12480.7</v>
      </c>
      <c r="C9" s="23">
        <f>ROUND('Форма 4'!D84*'Текущие цены за единицу'!C9,2)</f>
        <v>0</v>
      </c>
      <c r="D9" s="23">
        <f>ROUND('Форма 4'!D84*'Текущие цены за единицу'!D9,2)</f>
        <v>348.57</v>
      </c>
      <c r="E9" s="23">
        <f>ROUND('Форма 4'!D84*'Текущие цены за единицу'!E9,2)</f>
        <v>144.51</v>
      </c>
      <c r="F9" s="23">
        <f>ROUND('Форма 4'!D84*'Текущие цены за единицу'!F9,2)</f>
        <v>12132.13</v>
      </c>
      <c r="G9" s="23">
        <f>ROUND('Форма 4'!D84*'Текущие цены за единицу'!G9,2)</f>
        <v>0</v>
      </c>
      <c r="H9" s="23">
        <f>ROUND('Форма 4'!D84*'Текущие цены за единицу'!H9,2)</f>
        <v>0</v>
      </c>
      <c r="I9" s="27">
        <f>ОКРУГЛВСЕ('Форма 4'!D84*'Текущие цены за единицу'!I9,8)</f>
        <v>0</v>
      </c>
      <c r="J9" s="24">
        <f>ОКРУГЛВСЕ('Форма 4'!D84*'Текущие цены за единицу'!J9,8)</f>
        <v>0</v>
      </c>
      <c r="K9" s="27">
        <f>ОКРУГЛВСЕ('Форма 4'!D84*'Текущие цены за единицу'!K9,8)</f>
        <v>0.738045</v>
      </c>
      <c r="L9" s="23">
        <f>ROUND('Форма 4'!D84*'Текущие цены за единицу'!L9,2)</f>
        <v>0</v>
      </c>
      <c r="M9" s="23">
        <f>ROUND('Форма 4'!D84*'Текущие цены за единицу'!M9,2)</f>
        <v>0</v>
      </c>
      <c r="N9" s="23">
        <f>ROUND((C9+E9)*'Форма 4'!D96/100,2)</f>
        <v>174.86</v>
      </c>
      <c r="O9" s="23">
        <f>ROUND((C9+E9)*'Форма 4'!D100/100,2)</f>
        <v>93.93</v>
      </c>
      <c r="P9" s="23">
        <f>ROUND('Форма 4'!D84*'Текущие цены за единицу'!P9,2)</f>
        <v>0</v>
      </c>
      <c r="Q9" s="23">
        <f>ROUND('Форма 4'!D84*'Текущие цены за единицу'!Q9,2)</f>
        <v>174.85</v>
      </c>
      <c r="R9" s="23">
        <f>ROUND('Форма 4'!D84*'Текущие цены за единицу'!R9,2)</f>
        <v>0</v>
      </c>
      <c r="S9" s="23">
        <f>ROUND('Форма 4'!D84*'Текущие цены за единицу'!S9,2)</f>
        <v>93.93</v>
      </c>
      <c r="T9" s="23">
        <f>ROUND('Форма 4'!D84*'Текущие цены за единицу'!T9,2)</f>
        <v>0</v>
      </c>
      <c r="U9" s="23">
        <f>ROUND('Форма 4'!D84*'Текущие цены за единицу'!U9,2)</f>
        <v>0</v>
      </c>
      <c r="V9" s="23">
        <f>ROUND('Форма 4'!D84*'Текущие цены за единицу'!V9,2)</f>
        <v>0</v>
      </c>
      <c r="X9" s="23">
        <f>ROUND('Форма 4'!D84*'Текущие цены за единицу'!X9,2)</f>
        <v>0</v>
      </c>
      <c r="Y9" s="23">
        <f>IF(Определители!I9="9",ROUND((C9+E9)*(Начисления!M9/100)*('Форма 4'!D96/100),2),0)</f>
        <v>0</v>
      </c>
      <c r="Z9" s="23">
        <f>IF(Определители!I9="9",ROUND((C9+E9)*(100-Начисления!M9/100)*('Форма 4'!D96/100),2),0)</f>
        <v>0</v>
      </c>
      <c r="AA9" s="23">
        <f>IF(Определители!I9="9",ROUND((C9+E9)*(Начисления!M9/100)*('Форма 4'!D100/100),2),0)</f>
        <v>0</v>
      </c>
      <c r="AB9" s="23">
        <f>IF(Определители!I9="9",ROUND((C9+E9)*(100-Начисления!M9/100)*('Форма 4'!D100/100),2),0)</f>
        <v>0</v>
      </c>
      <c r="AC9" s="23">
        <f>IF(Определители!I9="9",ROUND(B9*Начисления!M9/100,2),0)</f>
        <v>0</v>
      </c>
      <c r="AD9" s="23">
        <f>IF(Определители!I9="9",ROUND(B9*(100-Начисления!M9)/100,2),0)</f>
        <v>0</v>
      </c>
      <c r="AE9" s="23">
        <f>ROUND('Форма 4'!D84*'Текущие цены за единицу'!AE9,2)</f>
        <v>0</v>
      </c>
    </row>
    <row r="10" spans="1:31" ht="10.5">
      <c r="A10" s="23" t="str">
        <f>'Форма 4'!A106</f>
        <v>5.</v>
      </c>
      <c r="B10" s="23">
        <f t="shared" si="0"/>
        <v>517.94</v>
      </c>
      <c r="C10" s="23">
        <f>ROUND('Форма 4'!D106*'Текущие цены за единицу'!C10,2)</f>
        <v>0</v>
      </c>
      <c r="D10" s="23">
        <f>ROUND('Форма 4'!D106*'Текущие цены за единицу'!D10,2)</f>
        <v>517.94</v>
      </c>
      <c r="E10" s="23">
        <f>ROUND('Форма 4'!D106*'Текущие цены за единицу'!E10,2)</f>
        <v>196.95</v>
      </c>
      <c r="F10" s="23">
        <f>ROUND('Форма 4'!D106*'Текущие цены за единицу'!F10,2)</f>
        <v>0</v>
      </c>
      <c r="G10" s="23">
        <f>ROUND('Форма 4'!D106*'Текущие цены за единицу'!G10,2)</f>
        <v>0</v>
      </c>
      <c r="H10" s="23">
        <f>ROUND('Форма 4'!D106*'Текущие цены за единицу'!H10,2)</f>
        <v>0</v>
      </c>
      <c r="I10" s="27">
        <f>ОКРУГЛВСЕ('Форма 4'!D106*'Текущие цены за единицу'!I10,8)</f>
        <v>0</v>
      </c>
      <c r="J10" s="24">
        <f>ОКРУГЛВСЕ('Форма 4'!D106*'Текущие цены за единицу'!J10,8)</f>
        <v>0</v>
      </c>
      <c r="K10" s="27">
        <f>ОКРУГЛВСЕ('Форма 4'!D106*'Текущие цены за единицу'!K10,8)</f>
        <v>1.19211041</v>
      </c>
      <c r="L10" s="23">
        <f>ROUND('Форма 4'!D106*'Текущие цены за единицу'!L10,2)</f>
        <v>0</v>
      </c>
      <c r="M10" s="23">
        <f>ROUND('Форма 4'!D106*'Текущие цены за единицу'!M10,2)</f>
        <v>0</v>
      </c>
      <c r="N10" s="23">
        <f>ROUND((C10+E10)*'Форма 4'!D118/100,2)</f>
        <v>238.31</v>
      </c>
      <c r="O10" s="23">
        <f>ROUND((C10+E10)*'Форма 4'!D122/100,2)</f>
        <v>128.02</v>
      </c>
      <c r="P10" s="23">
        <f>ROUND('Форма 4'!D106*'Текущие цены за единицу'!P10,2)</f>
        <v>0</v>
      </c>
      <c r="Q10" s="23">
        <f>ROUND('Форма 4'!D106*'Текущие цены за единицу'!Q10,2)</f>
        <v>238.31</v>
      </c>
      <c r="R10" s="23">
        <f>ROUND('Форма 4'!D106*'Текущие цены за единицу'!R10,2)</f>
        <v>0</v>
      </c>
      <c r="S10" s="23">
        <f>ROUND('Форма 4'!D106*'Текущие цены за единицу'!S10,2)</f>
        <v>128.02</v>
      </c>
      <c r="T10" s="23">
        <f>ROUND('Форма 4'!D106*'Текущие цены за единицу'!T10,2)</f>
        <v>0</v>
      </c>
      <c r="U10" s="23">
        <f>ROUND('Форма 4'!D106*'Текущие цены за единицу'!U10,2)</f>
        <v>0</v>
      </c>
      <c r="V10" s="23">
        <f>ROUND('Форма 4'!D106*'Текущие цены за единицу'!V10,2)</f>
        <v>0</v>
      </c>
      <c r="X10" s="23">
        <f>ROUND('Форма 4'!D106*'Текущие цены за единицу'!X10,2)</f>
        <v>0</v>
      </c>
      <c r="Y10" s="23">
        <f>IF(Определители!I10="9",ROUND((C10+E10)*(Начисления!M10/100)*('Форма 4'!D118/100),2),0)</f>
        <v>0</v>
      </c>
      <c r="Z10" s="23">
        <f>IF(Определители!I10="9",ROUND((C10+E10)*(100-Начисления!M10/100)*('Форма 4'!D118/100),2),0)</f>
        <v>0</v>
      </c>
      <c r="AA10" s="23">
        <f>IF(Определители!I10="9",ROUND((C10+E10)*(Начисления!M10/100)*('Форма 4'!D122/100),2),0)</f>
        <v>0</v>
      </c>
      <c r="AB10" s="23">
        <f>IF(Определители!I10="9",ROUND((C10+E10)*(100-Начисления!M10/100)*('Форма 4'!D122/100),2),0)</f>
        <v>0</v>
      </c>
      <c r="AC10" s="23">
        <f>IF(Определители!I10="9",ROUND(B10*Начисления!M10/100,2),0)</f>
        <v>0</v>
      </c>
      <c r="AD10" s="23">
        <f>IF(Определители!I10="9",ROUND(B10*(100-Начисления!M10)/100,2),0)</f>
        <v>0</v>
      </c>
      <c r="AE10" s="23">
        <f>ROUND('Форма 4'!D106*'Текущие цены за единицу'!AE10,2)</f>
        <v>0</v>
      </c>
    </row>
    <row r="11" spans="1:31" ht="10.5">
      <c r="A11" s="23" t="str">
        <f>'Форма 4'!A128</f>
        <v>6.</v>
      </c>
      <c r="B11" s="23">
        <f t="shared" si="0"/>
        <v>829460.95</v>
      </c>
      <c r="C11" s="23">
        <f>ROUND('Форма 4'!D128*'Текущие цены за единицу'!C11,2)</f>
        <v>26651.95</v>
      </c>
      <c r="D11" s="23">
        <f>ROUND('Форма 4'!D128*'Текущие цены за единицу'!D11,2)</f>
        <v>72534.76</v>
      </c>
      <c r="E11" s="23">
        <f>ROUND('Форма 4'!D128*'Текущие цены за единицу'!E11,2)</f>
        <v>20167.95</v>
      </c>
      <c r="F11" s="23">
        <f>ROUND('Форма 4'!D128*'Текущие цены за единицу'!F11,2)</f>
        <v>730274.24</v>
      </c>
      <c r="G11" s="23">
        <f>ROUND('Форма 4'!D128*'Текущие цены за единицу'!G11,2)</f>
        <v>0</v>
      </c>
      <c r="H11" s="23">
        <f>ROUND('Форма 4'!D128*'Текущие цены за единицу'!H11,2)</f>
        <v>0</v>
      </c>
      <c r="I11" s="27">
        <f>ОКРУГЛВСЕ('Форма 4'!D128*'Текущие цены за единицу'!I11,8)</f>
        <v>157.61063</v>
      </c>
      <c r="J11" s="24">
        <f>ОКРУГЛВСЕ('Форма 4'!D128*'Текущие цены за единицу'!J11,8)</f>
        <v>0</v>
      </c>
      <c r="K11" s="27">
        <f>ОКРУГЛВСЕ('Форма 4'!D128*'Текущие цены за единицу'!K11,8)</f>
        <v>85.34484</v>
      </c>
      <c r="L11" s="23">
        <f>ROUND('Форма 4'!D128*'Текущие цены за единицу'!L11,2)</f>
        <v>0</v>
      </c>
      <c r="M11" s="23">
        <f>ROUND('Форма 4'!D128*'Текущие цены за единицу'!M11,2)</f>
        <v>0</v>
      </c>
      <c r="N11" s="23">
        <f>ROUND((C11+E11)*'Форма 4'!D140/100,2)</f>
        <v>56652.08</v>
      </c>
      <c r="O11" s="23">
        <f>ROUND((C11+E11)*'Форма 4'!D144/100,2)</f>
        <v>30432.94</v>
      </c>
      <c r="P11" s="23">
        <f>ROUND('Форма 4'!D128*'Текущие цены за единицу'!P11,2)</f>
        <v>32248.86</v>
      </c>
      <c r="Q11" s="23">
        <f>ROUND('Форма 4'!D128*'Текущие цены за единицу'!Q11,2)</f>
        <v>24403.22</v>
      </c>
      <c r="R11" s="23">
        <f>ROUND('Форма 4'!D128*'Текущие цены за единицу'!R11,2)</f>
        <v>17323.77</v>
      </c>
      <c r="S11" s="23">
        <f>ROUND('Форма 4'!D128*'Текущие цены за единицу'!S11,2)</f>
        <v>13109.17</v>
      </c>
      <c r="T11" s="23">
        <f>ROUND('Форма 4'!D128*'Текущие цены за единицу'!T11,2)</f>
        <v>0</v>
      </c>
      <c r="U11" s="23">
        <f>ROUND('Форма 4'!D128*'Текущие цены за единицу'!U11,2)</f>
        <v>0</v>
      </c>
      <c r="V11" s="23">
        <f>ROUND('Форма 4'!D128*'Текущие цены за единицу'!V11,2)</f>
        <v>0</v>
      </c>
      <c r="X11" s="23">
        <f>ROUND('Форма 4'!D128*'Текущие цены за единицу'!X11,2)</f>
        <v>0</v>
      </c>
      <c r="Y11" s="23">
        <f>IF(Определители!I11="9",ROUND((C11+E11)*(Начисления!M11/100)*('Форма 4'!D140/100),2),0)</f>
        <v>0</v>
      </c>
      <c r="Z11" s="23">
        <f>IF(Определители!I11="9",ROUND((C11+E11)*(100-Начисления!M11/100)*('Форма 4'!D140/100),2),0)</f>
        <v>0</v>
      </c>
      <c r="AA11" s="23">
        <f>IF(Определители!I11="9",ROUND((C11+E11)*(Начисления!M11/100)*('Форма 4'!D144/100),2),0)</f>
        <v>0</v>
      </c>
      <c r="AB11" s="23">
        <f>IF(Определители!I11="9",ROUND((C11+E11)*(100-Начисления!M11/100)*('Форма 4'!D144/100),2),0)</f>
        <v>0</v>
      </c>
      <c r="AC11" s="23">
        <f>IF(Определители!I11="9",ROUND(B11*Начисления!M11/100,2),0)</f>
        <v>0</v>
      </c>
      <c r="AD11" s="23">
        <f>IF(Определители!I11="9",ROUND(B11*(100-Начисления!M11)/100,2),0)</f>
        <v>0</v>
      </c>
      <c r="AE11" s="23">
        <f>ROUND('Форма 4'!D128*'Текущие цены за единицу'!AE11,2)</f>
        <v>0</v>
      </c>
    </row>
  </sheetData>
  <sheetProtection/>
  <mergeCells count="4">
    <mergeCell ref="A2:K2"/>
    <mergeCell ref="B3:K3"/>
    <mergeCell ref="B4:K4"/>
    <mergeCell ref="A5:K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X1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16384" width="9.140625" style="23" customWidth="1"/>
  </cols>
  <sheetData>
    <row r="1" spans="1:50" s="25" customFormat="1" ht="10.5">
      <c r="A1" s="6"/>
      <c r="B1" s="25" t="s">
        <v>158</v>
      </c>
      <c r="C1" s="25" t="s">
        <v>159</v>
      </c>
      <c r="D1" s="25" t="s">
        <v>160</v>
      </c>
      <c r="E1" s="25" t="s">
        <v>161</v>
      </c>
      <c r="F1" s="25" t="s">
        <v>162</v>
      </c>
      <c r="G1" s="25" t="s">
        <v>163</v>
      </c>
      <c r="H1" s="25" t="s">
        <v>164</v>
      </c>
      <c r="I1" s="25" t="s">
        <v>165</v>
      </c>
      <c r="J1" s="25" t="s">
        <v>166</v>
      </c>
      <c r="K1" s="25" t="s">
        <v>167</v>
      </c>
      <c r="L1" s="25" t="s">
        <v>168</v>
      </c>
      <c r="M1" s="25" t="s">
        <v>169</v>
      </c>
      <c r="N1" s="25" t="s">
        <v>170</v>
      </c>
      <c r="O1" s="25" t="s">
        <v>171</v>
      </c>
      <c r="P1" s="25" t="s">
        <v>172</v>
      </c>
      <c r="Q1" s="25" t="s">
        <v>173</v>
      </c>
      <c r="R1" s="25" t="s">
        <v>174</v>
      </c>
      <c r="S1" s="25" t="s">
        <v>175</v>
      </c>
      <c r="T1" s="25" t="s">
        <v>176</v>
      </c>
      <c r="U1" s="25" t="s">
        <v>177</v>
      </c>
      <c r="V1" s="25" t="s">
        <v>178</v>
      </c>
      <c r="W1" s="25" t="s">
        <v>179</v>
      </c>
      <c r="X1" s="25" t="s">
        <v>180</v>
      </c>
      <c r="Y1" s="25" t="s">
        <v>181</v>
      </c>
      <c r="Z1" s="25" t="s">
        <v>182</v>
      </c>
      <c r="AA1" s="25" t="s">
        <v>183</v>
      </c>
      <c r="AB1" s="25" t="s">
        <v>184</v>
      </c>
      <c r="AC1" s="25" t="s">
        <v>185</v>
      </c>
      <c r="AD1" s="25" t="s">
        <v>186</v>
      </c>
      <c r="AE1" s="25" t="s">
        <v>187</v>
      </c>
      <c r="AF1" s="25" t="s">
        <v>188</v>
      </c>
      <c r="AG1" s="25" t="s">
        <v>189</v>
      </c>
      <c r="AH1" s="25" t="s">
        <v>190</v>
      </c>
      <c r="AI1" s="25" t="s">
        <v>191</v>
      </c>
      <c r="AJ1" s="25" t="s">
        <v>192</v>
      </c>
      <c r="AK1" s="25" t="s">
        <v>193</v>
      </c>
      <c r="AL1" s="25" t="s">
        <v>194</v>
      </c>
      <c r="AM1" s="25" t="s">
        <v>195</v>
      </c>
      <c r="AN1" s="25" t="s">
        <v>196</v>
      </c>
      <c r="AO1" s="25" t="s">
        <v>197</v>
      </c>
      <c r="AP1" s="25" t="s">
        <v>198</v>
      </c>
      <c r="AQ1" s="25" t="s">
        <v>199</v>
      </c>
      <c r="AR1" s="25" t="s">
        <v>200</v>
      </c>
      <c r="AS1" s="25" t="s">
        <v>201</v>
      </c>
      <c r="AT1" s="25" t="s">
        <v>202</v>
      </c>
      <c r="AU1" s="25" t="s">
        <v>203</v>
      </c>
      <c r="AV1" s="25" t="s">
        <v>204</v>
      </c>
      <c r="AW1" s="25" t="s">
        <v>205</v>
      </c>
      <c r="AX1" s="25" t="s">
        <v>206</v>
      </c>
    </row>
    <row r="2" spans="1:11" ht="10.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0.5">
      <c r="A3" s="26"/>
      <c r="B3" s="53" t="s">
        <v>156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0.5">
      <c r="A4" s="26"/>
      <c r="B4" s="53" t="s">
        <v>157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ht="10.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50" ht="10.5">
      <c r="A6" s="24" t="str">
        <f>'Форма 4'!A18</f>
        <v>1.</v>
      </c>
      <c r="B6" s="24">
        <v>1</v>
      </c>
      <c r="C6" s="24">
        <v>1</v>
      </c>
      <c r="D6" s="24">
        <v>1.5</v>
      </c>
      <c r="E6" s="24">
        <v>1.5</v>
      </c>
      <c r="F6" s="24">
        <v>1.38</v>
      </c>
      <c r="G6" s="24">
        <v>1</v>
      </c>
      <c r="H6" s="24">
        <v>1</v>
      </c>
      <c r="I6" s="24">
        <v>1</v>
      </c>
      <c r="J6" s="24">
        <v>1</v>
      </c>
      <c r="K6" s="24">
        <v>0</v>
      </c>
      <c r="L6" s="24">
        <v>0</v>
      </c>
      <c r="M6" s="24">
        <v>100</v>
      </c>
      <c r="N6" s="24">
        <v>0</v>
      </c>
      <c r="O6" s="24">
        <v>0</v>
      </c>
      <c r="P6" s="24">
        <v>1</v>
      </c>
      <c r="Q6" s="24">
        <v>1</v>
      </c>
      <c r="R6" s="24">
        <v>0</v>
      </c>
      <c r="S6" s="24">
        <v>0</v>
      </c>
      <c r="T6" s="24">
        <v>1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1.7</v>
      </c>
      <c r="AH6" s="24">
        <v>1.6</v>
      </c>
      <c r="AI6" s="24">
        <v>1.29</v>
      </c>
      <c r="AJ6" s="24">
        <v>0.092</v>
      </c>
      <c r="AK6" s="24">
        <v>0.18</v>
      </c>
      <c r="AL6" s="24">
        <v>1</v>
      </c>
      <c r="AM6" s="24">
        <v>1</v>
      </c>
      <c r="AN6" s="24">
        <v>0.2</v>
      </c>
      <c r="AO6" s="24">
        <v>1.5</v>
      </c>
      <c r="AP6" s="24">
        <v>1</v>
      </c>
      <c r="AQ6" s="24">
        <v>1</v>
      </c>
      <c r="AR6" s="24">
        <v>1</v>
      </c>
      <c r="AS6" s="24">
        <v>1</v>
      </c>
      <c r="AT6" s="24">
        <v>1</v>
      </c>
      <c r="AU6" s="24">
        <v>100</v>
      </c>
      <c r="AV6" s="24">
        <v>1</v>
      </c>
      <c r="AW6" s="24">
        <v>1</v>
      </c>
      <c r="AX6" s="24">
        <v>1</v>
      </c>
    </row>
    <row r="7" spans="1:50" ht="10.5">
      <c r="A7" s="24" t="str">
        <f>'Форма 4'!A40</f>
        <v>2.</v>
      </c>
      <c r="B7" s="24">
        <v>1</v>
      </c>
      <c r="C7" s="24">
        <v>1</v>
      </c>
      <c r="D7" s="24">
        <v>33.75</v>
      </c>
      <c r="E7" s="24">
        <v>33.75</v>
      </c>
      <c r="F7" s="24">
        <v>31.05</v>
      </c>
      <c r="G7" s="24">
        <v>1</v>
      </c>
      <c r="H7" s="24">
        <v>1</v>
      </c>
      <c r="I7" s="24">
        <v>1</v>
      </c>
      <c r="J7" s="24">
        <v>1</v>
      </c>
      <c r="K7" s="24">
        <v>0</v>
      </c>
      <c r="L7" s="24">
        <v>0</v>
      </c>
      <c r="M7" s="24">
        <v>100</v>
      </c>
      <c r="N7" s="24">
        <v>0</v>
      </c>
      <c r="O7" s="24">
        <v>0</v>
      </c>
      <c r="P7" s="24">
        <v>1</v>
      </c>
      <c r="Q7" s="24">
        <v>1</v>
      </c>
      <c r="R7" s="24">
        <v>0</v>
      </c>
      <c r="S7" s="24">
        <v>0</v>
      </c>
      <c r="T7" s="24">
        <v>1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1.7</v>
      </c>
      <c r="AH7" s="24">
        <v>1.6</v>
      </c>
      <c r="AI7" s="24">
        <v>1.29</v>
      </c>
      <c r="AJ7" s="24">
        <v>0.092</v>
      </c>
      <c r="AK7" s="24">
        <v>0.18</v>
      </c>
      <c r="AL7" s="24">
        <v>1</v>
      </c>
      <c r="AM7" s="24">
        <v>1</v>
      </c>
      <c r="AN7" s="24">
        <v>0.2</v>
      </c>
      <c r="AO7" s="24">
        <v>1.5</v>
      </c>
      <c r="AP7" s="24">
        <v>1</v>
      </c>
      <c r="AQ7" s="24">
        <v>1</v>
      </c>
      <c r="AR7" s="24">
        <v>1</v>
      </c>
      <c r="AS7" s="24">
        <v>1</v>
      </c>
      <c r="AT7" s="24">
        <v>1</v>
      </c>
      <c r="AU7" s="24">
        <v>100</v>
      </c>
      <c r="AV7" s="24">
        <v>1</v>
      </c>
      <c r="AW7" s="24">
        <v>27</v>
      </c>
      <c r="AX7" s="24">
        <v>1</v>
      </c>
    </row>
    <row r="8" spans="1:50" ht="10.5">
      <c r="A8" s="24" t="str">
        <f>'Форма 4'!A62</f>
        <v>3.</v>
      </c>
      <c r="B8" s="24">
        <v>1</v>
      </c>
      <c r="C8" s="24">
        <v>1</v>
      </c>
      <c r="D8" s="24">
        <v>1.5</v>
      </c>
      <c r="E8" s="24">
        <v>1.5</v>
      </c>
      <c r="F8" s="24">
        <v>1.38</v>
      </c>
      <c r="G8" s="24">
        <v>1</v>
      </c>
      <c r="H8" s="24">
        <v>1</v>
      </c>
      <c r="I8" s="24">
        <v>1</v>
      </c>
      <c r="J8" s="24">
        <v>1</v>
      </c>
      <c r="K8" s="24">
        <v>0</v>
      </c>
      <c r="L8" s="24">
        <v>0</v>
      </c>
      <c r="M8" s="24">
        <v>100</v>
      </c>
      <c r="N8" s="24">
        <v>0</v>
      </c>
      <c r="O8" s="24">
        <v>0</v>
      </c>
      <c r="P8" s="24">
        <v>1</v>
      </c>
      <c r="Q8" s="24">
        <v>1</v>
      </c>
      <c r="R8" s="24">
        <v>0</v>
      </c>
      <c r="S8" s="24">
        <v>0</v>
      </c>
      <c r="T8" s="24">
        <v>1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0</v>
      </c>
      <c r="AF8" s="24">
        <v>0</v>
      </c>
      <c r="AG8" s="24">
        <v>1.7</v>
      </c>
      <c r="AH8" s="24">
        <v>1.6</v>
      </c>
      <c r="AI8" s="24">
        <v>1.29</v>
      </c>
      <c r="AJ8" s="24">
        <v>0.092</v>
      </c>
      <c r="AK8" s="24">
        <v>0.18</v>
      </c>
      <c r="AL8" s="24">
        <v>1</v>
      </c>
      <c r="AM8" s="24">
        <v>1</v>
      </c>
      <c r="AN8" s="24">
        <v>0.2</v>
      </c>
      <c r="AO8" s="24">
        <v>1.5</v>
      </c>
      <c r="AP8" s="24">
        <v>1</v>
      </c>
      <c r="AQ8" s="24">
        <v>1</v>
      </c>
      <c r="AR8" s="24">
        <v>1</v>
      </c>
      <c r="AS8" s="24">
        <v>1</v>
      </c>
      <c r="AT8" s="24">
        <v>1</v>
      </c>
      <c r="AU8" s="24">
        <v>100</v>
      </c>
      <c r="AV8" s="24">
        <v>1</v>
      </c>
      <c r="AW8" s="24">
        <v>1</v>
      </c>
      <c r="AX8" s="24">
        <v>1</v>
      </c>
    </row>
    <row r="9" spans="1:50" ht="10.5">
      <c r="A9" s="24" t="str">
        <f>'Форма 4'!A84</f>
        <v>4.</v>
      </c>
      <c r="B9" s="24">
        <v>1</v>
      </c>
      <c r="C9" s="24">
        <v>1</v>
      </c>
      <c r="D9" s="24">
        <v>1.5</v>
      </c>
      <c r="E9" s="24">
        <v>1.5</v>
      </c>
      <c r="F9" s="24">
        <v>1.38</v>
      </c>
      <c r="G9" s="24">
        <v>1</v>
      </c>
      <c r="H9" s="24">
        <v>1</v>
      </c>
      <c r="I9" s="24">
        <v>1</v>
      </c>
      <c r="J9" s="24">
        <v>1</v>
      </c>
      <c r="K9" s="24">
        <v>0</v>
      </c>
      <c r="L9" s="24">
        <v>0</v>
      </c>
      <c r="M9" s="24">
        <v>100</v>
      </c>
      <c r="N9" s="24">
        <v>0</v>
      </c>
      <c r="O9" s="24">
        <v>0</v>
      </c>
      <c r="P9" s="24">
        <v>1</v>
      </c>
      <c r="Q9" s="24">
        <v>1</v>
      </c>
      <c r="R9" s="24">
        <v>0</v>
      </c>
      <c r="S9" s="24">
        <v>0</v>
      </c>
      <c r="T9" s="24">
        <v>1</v>
      </c>
      <c r="U9" s="24">
        <v>0</v>
      </c>
      <c r="V9" s="24">
        <v>0</v>
      </c>
      <c r="W9" s="24">
        <v>0</v>
      </c>
      <c r="X9" s="24">
        <v>0</v>
      </c>
      <c r="Y9" s="24">
        <v>0</v>
      </c>
      <c r="Z9" s="24">
        <v>0</v>
      </c>
      <c r="AA9" s="24">
        <v>0</v>
      </c>
      <c r="AB9" s="24">
        <v>0</v>
      </c>
      <c r="AC9" s="24">
        <v>0</v>
      </c>
      <c r="AD9" s="24">
        <v>0</v>
      </c>
      <c r="AE9" s="24">
        <v>0</v>
      </c>
      <c r="AF9" s="24">
        <v>0</v>
      </c>
      <c r="AG9" s="24">
        <v>1.7</v>
      </c>
      <c r="AH9" s="24">
        <v>1.6</v>
      </c>
      <c r="AI9" s="24">
        <v>1.29</v>
      </c>
      <c r="AJ9" s="24">
        <v>0.092</v>
      </c>
      <c r="AK9" s="24">
        <v>0.18</v>
      </c>
      <c r="AL9" s="24">
        <v>1</v>
      </c>
      <c r="AM9" s="24">
        <v>1</v>
      </c>
      <c r="AN9" s="24">
        <v>0.2</v>
      </c>
      <c r="AO9" s="24">
        <v>1.5</v>
      </c>
      <c r="AP9" s="24">
        <v>1</v>
      </c>
      <c r="AQ9" s="24">
        <v>1</v>
      </c>
      <c r="AR9" s="24">
        <v>1</v>
      </c>
      <c r="AS9" s="24">
        <v>1</v>
      </c>
      <c r="AT9" s="24">
        <v>1</v>
      </c>
      <c r="AU9" s="24">
        <v>100</v>
      </c>
      <c r="AV9" s="24">
        <v>1</v>
      </c>
      <c r="AW9" s="24">
        <v>1</v>
      </c>
      <c r="AX9" s="24">
        <v>1</v>
      </c>
    </row>
    <row r="10" spans="1:50" ht="10.5">
      <c r="A10" s="24" t="str">
        <f>'Форма 4'!A106</f>
        <v>5.</v>
      </c>
      <c r="B10" s="24">
        <v>1</v>
      </c>
      <c r="C10" s="24">
        <v>1</v>
      </c>
      <c r="D10" s="24">
        <v>33.75</v>
      </c>
      <c r="E10" s="24">
        <v>33.75</v>
      </c>
      <c r="F10" s="24">
        <v>31.05</v>
      </c>
      <c r="G10" s="24">
        <v>1</v>
      </c>
      <c r="H10" s="24">
        <v>1</v>
      </c>
      <c r="I10" s="24">
        <v>1</v>
      </c>
      <c r="J10" s="24">
        <v>1</v>
      </c>
      <c r="K10" s="24">
        <v>0</v>
      </c>
      <c r="L10" s="24">
        <v>0</v>
      </c>
      <c r="M10" s="24">
        <v>100</v>
      </c>
      <c r="N10" s="24">
        <v>0</v>
      </c>
      <c r="O10" s="24">
        <v>0</v>
      </c>
      <c r="P10" s="24">
        <v>1</v>
      </c>
      <c r="Q10" s="24">
        <v>1</v>
      </c>
      <c r="R10" s="24">
        <v>0</v>
      </c>
      <c r="S10" s="24">
        <v>0</v>
      </c>
      <c r="T10" s="24">
        <v>1</v>
      </c>
      <c r="U10" s="24">
        <v>0</v>
      </c>
      <c r="V10" s="24">
        <v>0</v>
      </c>
      <c r="W10" s="24">
        <v>0</v>
      </c>
      <c r="X10" s="24">
        <v>0</v>
      </c>
      <c r="Y10" s="24">
        <v>0</v>
      </c>
      <c r="Z10" s="24">
        <v>0</v>
      </c>
      <c r="AA10" s="24">
        <v>0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1.7</v>
      </c>
      <c r="AH10" s="24">
        <v>1.6</v>
      </c>
      <c r="AI10" s="24">
        <v>1.29</v>
      </c>
      <c r="AJ10" s="24">
        <v>0.092</v>
      </c>
      <c r="AK10" s="24">
        <v>0.18</v>
      </c>
      <c r="AL10" s="24">
        <v>1</v>
      </c>
      <c r="AM10" s="24">
        <v>1</v>
      </c>
      <c r="AN10" s="24">
        <v>0.2</v>
      </c>
      <c r="AO10" s="24">
        <v>1.5</v>
      </c>
      <c r="AP10" s="24">
        <v>1</v>
      </c>
      <c r="AQ10" s="24">
        <v>1</v>
      </c>
      <c r="AR10" s="24">
        <v>1</v>
      </c>
      <c r="AS10" s="24">
        <v>1</v>
      </c>
      <c r="AT10" s="24">
        <v>1</v>
      </c>
      <c r="AU10" s="24">
        <v>100</v>
      </c>
      <c r="AV10" s="24">
        <v>1</v>
      </c>
      <c r="AW10" s="24">
        <v>27</v>
      </c>
      <c r="AX10" s="24">
        <v>1</v>
      </c>
    </row>
    <row r="11" spans="1:50" ht="10.5">
      <c r="A11" s="24" t="str">
        <f>'Форма 4'!A128</f>
        <v>6.</v>
      </c>
      <c r="B11" s="24">
        <v>1</v>
      </c>
      <c r="C11" s="24">
        <v>1</v>
      </c>
      <c r="D11" s="24">
        <v>1.5</v>
      </c>
      <c r="E11" s="24">
        <v>1.5</v>
      </c>
      <c r="F11" s="24">
        <v>1.38</v>
      </c>
      <c r="G11" s="24">
        <v>1</v>
      </c>
      <c r="H11" s="24">
        <v>1</v>
      </c>
      <c r="I11" s="24">
        <v>1</v>
      </c>
      <c r="J11" s="24">
        <v>1</v>
      </c>
      <c r="K11" s="24">
        <v>0</v>
      </c>
      <c r="L11" s="24">
        <v>0</v>
      </c>
      <c r="M11" s="24">
        <v>100</v>
      </c>
      <c r="N11" s="24">
        <v>0</v>
      </c>
      <c r="O11" s="24">
        <v>0</v>
      </c>
      <c r="P11" s="24">
        <v>1</v>
      </c>
      <c r="Q11" s="24">
        <v>1</v>
      </c>
      <c r="R11" s="24">
        <v>0</v>
      </c>
      <c r="S11" s="24">
        <v>0</v>
      </c>
      <c r="T11" s="24">
        <v>1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1.7</v>
      </c>
      <c r="AH11" s="24">
        <v>1.6</v>
      </c>
      <c r="AI11" s="24">
        <v>1.29</v>
      </c>
      <c r="AJ11" s="24">
        <v>0.092</v>
      </c>
      <c r="AK11" s="24">
        <v>0.18</v>
      </c>
      <c r="AL11" s="24">
        <v>1</v>
      </c>
      <c r="AM11" s="24">
        <v>1</v>
      </c>
      <c r="AN11" s="24">
        <v>0.2</v>
      </c>
      <c r="AO11" s="24">
        <v>1.5</v>
      </c>
      <c r="AP11" s="24">
        <v>1</v>
      </c>
      <c r="AQ11" s="24">
        <v>1</v>
      </c>
      <c r="AR11" s="24">
        <v>1</v>
      </c>
      <c r="AS11" s="24">
        <v>1</v>
      </c>
      <c r="AT11" s="24">
        <v>1</v>
      </c>
      <c r="AU11" s="24">
        <v>100</v>
      </c>
      <c r="AV11" s="24">
        <v>1</v>
      </c>
      <c r="AW11" s="24">
        <v>1</v>
      </c>
      <c r="AX11" s="24">
        <v>1</v>
      </c>
    </row>
  </sheetData>
  <sheetProtection/>
  <mergeCells count="4">
    <mergeCell ref="A2:K2"/>
    <mergeCell ref="B3:K3"/>
    <mergeCell ref="B4:K4"/>
    <mergeCell ref="A5:K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K11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9" customWidth="1"/>
    <col min="2" max="16384" width="9.140625" style="28" customWidth="1"/>
  </cols>
  <sheetData>
    <row r="1" spans="2:10" s="25" customFormat="1" ht="10.5">
      <c r="B1" s="25" t="s">
        <v>207</v>
      </c>
      <c r="C1" s="25" t="s">
        <v>208</v>
      </c>
      <c r="D1" s="25" t="s">
        <v>209</v>
      </c>
      <c r="E1" s="25" t="s">
        <v>210</v>
      </c>
      <c r="F1" s="25" t="s">
        <v>211</v>
      </c>
      <c r="G1" s="25" t="s">
        <v>212</v>
      </c>
      <c r="H1" s="25" t="s">
        <v>213</v>
      </c>
      <c r="I1" s="25" t="s">
        <v>214</v>
      </c>
      <c r="J1" s="25" t="s">
        <v>215</v>
      </c>
    </row>
    <row r="2" spans="1:11" ht="10.5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0.5">
      <c r="A3" s="30"/>
      <c r="B3" s="56" t="s">
        <v>156</v>
      </c>
      <c r="C3" s="56"/>
      <c r="D3" s="56"/>
      <c r="E3" s="56"/>
      <c r="F3" s="56"/>
      <c r="G3" s="56"/>
      <c r="H3" s="56"/>
      <c r="I3" s="56"/>
      <c r="J3" s="56"/>
      <c r="K3" s="56"/>
    </row>
    <row r="4" spans="1:11" ht="10.5">
      <c r="A4" s="30"/>
      <c r="B4" s="56" t="s">
        <v>157</v>
      </c>
      <c r="C4" s="56"/>
      <c r="D4" s="56"/>
      <c r="E4" s="56"/>
      <c r="F4" s="56"/>
      <c r="G4" s="56"/>
      <c r="H4" s="56"/>
      <c r="I4" s="56"/>
      <c r="J4" s="56"/>
      <c r="K4" s="56"/>
    </row>
    <row r="5" spans="1:11" ht="10.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0" ht="10.5">
      <c r="A6" s="29" t="str">
        <f>'Форма 4'!A18</f>
        <v>1.</v>
      </c>
      <c r="B6" s="28" t="s">
        <v>216</v>
      </c>
      <c r="C6" s="28" t="s">
        <v>216</v>
      </c>
      <c r="D6" s="28" t="s">
        <v>217</v>
      </c>
      <c r="E6" s="28" t="s">
        <v>217</v>
      </c>
      <c r="F6" s="28" t="s">
        <v>218</v>
      </c>
      <c r="G6" s="28" t="s">
        <v>217</v>
      </c>
      <c r="H6" s="28" t="s">
        <v>217</v>
      </c>
      <c r="I6" s="28" t="s">
        <v>219</v>
      </c>
      <c r="J6" s="28" t="s">
        <v>217</v>
      </c>
    </row>
    <row r="7" spans="1:10" ht="10.5">
      <c r="A7" s="29" t="str">
        <f>'Форма 4'!A40</f>
        <v>2.</v>
      </c>
      <c r="B7" s="28" t="s">
        <v>216</v>
      </c>
      <c r="C7" s="28" t="s">
        <v>216</v>
      </c>
      <c r="D7" s="28" t="s">
        <v>217</v>
      </c>
      <c r="E7" s="28" t="s">
        <v>217</v>
      </c>
      <c r="F7" s="28" t="s">
        <v>218</v>
      </c>
      <c r="G7" s="28" t="s">
        <v>217</v>
      </c>
      <c r="H7" s="28" t="s">
        <v>217</v>
      </c>
      <c r="I7" s="28" t="s">
        <v>219</v>
      </c>
      <c r="J7" s="28" t="s">
        <v>217</v>
      </c>
    </row>
    <row r="8" spans="1:10" ht="10.5">
      <c r="A8" s="29" t="str">
        <f>'Форма 4'!A62</f>
        <v>3.</v>
      </c>
      <c r="B8" s="28" t="s">
        <v>216</v>
      </c>
      <c r="C8" s="28" t="s">
        <v>216</v>
      </c>
      <c r="D8" s="28" t="s">
        <v>217</v>
      </c>
      <c r="E8" s="28" t="s">
        <v>217</v>
      </c>
      <c r="F8" s="28" t="s">
        <v>218</v>
      </c>
      <c r="G8" s="28" t="s">
        <v>217</v>
      </c>
      <c r="H8" s="28" t="s">
        <v>217</v>
      </c>
      <c r="I8" s="28" t="s">
        <v>219</v>
      </c>
      <c r="J8" s="28" t="s">
        <v>217</v>
      </c>
    </row>
    <row r="9" spans="1:10" ht="10.5">
      <c r="A9" s="29" t="str">
        <f>'Форма 4'!A84</f>
        <v>4.</v>
      </c>
      <c r="B9" s="28" t="s">
        <v>216</v>
      </c>
      <c r="C9" s="28" t="s">
        <v>216</v>
      </c>
      <c r="D9" s="28" t="s">
        <v>217</v>
      </c>
      <c r="E9" s="28" t="s">
        <v>217</v>
      </c>
      <c r="F9" s="28" t="s">
        <v>218</v>
      </c>
      <c r="G9" s="28" t="s">
        <v>217</v>
      </c>
      <c r="H9" s="28" t="s">
        <v>217</v>
      </c>
      <c r="I9" s="28" t="s">
        <v>219</v>
      </c>
      <c r="J9" s="28" t="s">
        <v>217</v>
      </c>
    </row>
    <row r="10" spans="1:10" ht="10.5">
      <c r="A10" s="29" t="str">
        <f>'Форма 4'!A106</f>
        <v>5.</v>
      </c>
      <c r="B10" s="28" t="s">
        <v>216</v>
      </c>
      <c r="C10" s="28" t="s">
        <v>216</v>
      </c>
      <c r="D10" s="28" t="s">
        <v>217</v>
      </c>
      <c r="E10" s="28" t="s">
        <v>217</v>
      </c>
      <c r="F10" s="28" t="s">
        <v>218</v>
      </c>
      <c r="G10" s="28" t="s">
        <v>217</v>
      </c>
      <c r="H10" s="28" t="s">
        <v>217</v>
      </c>
      <c r="I10" s="28" t="s">
        <v>219</v>
      </c>
      <c r="J10" s="28" t="s">
        <v>217</v>
      </c>
    </row>
    <row r="11" spans="1:10" ht="10.5">
      <c r="A11" s="29" t="str">
        <f>'Форма 4'!A128</f>
        <v>6.</v>
      </c>
      <c r="B11" s="28" t="s">
        <v>216</v>
      </c>
      <c r="C11" s="28" t="s">
        <v>216</v>
      </c>
      <c r="D11" s="28" t="s">
        <v>217</v>
      </c>
      <c r="E11" s="28" t="s">
        <v>217</v>
      </c>
      <c r="F11" s="28" t="s">
        <v>218</v>
      </c>
      <c r="G11" s="28" t="s">
        <v>217</v>
      </c>
      <c r="H11" s="28" t="s">
        <v>217</v>
      </c>
      <c r="I11" s="28" t="s">
        <v>219</v>
      </c>
      <c r="J11" s="28" t="s">
        <v>217</v>
      </c>
    </row>
  </sheetData>
  <sheetProtection/>
  <mergeCells count="4">
    <mergeCell ref="A2:K2"/>
    <mergeCell ref="B3:K3"/>
    <mergeCell ref="B4:K4"/>
    <mergeCell ref="A5:K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N87"/>
  <sheetViews>
    <sheetView zoomScalePageLayoutView="0" workbookViewId="0" topLeftCell="A1">
      <selection activeCell="A1" sqref="A1"/>
    </sheetView>
  </sheetViews>
  <sheetFormatPr defaultColWidth="9.140625" defaultRowHeight="10.5"/>
  <cols>
    <col min="1" max="1" width="4.7109375" style="24" customWidth="1"/>
    <col min="2" max="2" width="44.421875" style="5" customWidth="1"/>
    <col min="3" max="3" width="3.421875" style="28" customWidth="1"/>
    <col min="4" max="4" width="6.00390625" style="31" customWidth="1"/>
    <col min="5" max="5" width="6.00390625" style="5" customWidth="1"/>
    <col min="6" max="9" width="12.7109375" style="31" customWidth="1"/>
    <col min="10" max="11" width="18.7109375" style="31" customWidth="1"/>
    <col min="12" max="12" width="12.7109375" style="31" customWidth="1"/>
    <col min="13" max="13" width="9.140625" style="31" customWidth="1"/>
    <col min="14" max="14" width="3.421875" style="28" hidden="1" customWidth="1"/>
    <col min="15" max="16384" width="9.140625" style="31" customWidth="1"/>
  </cols>
  <sheetData>
    <row r="2" spans="1:14" ht="10.5">
      <c r="A2" s="51"/>
      <c r="B2" s="57"/>
      <c r="C2" s="57"/>
      <c r="D2" s="58"/>
      <c r="E2" s="57"/>
      <c r="F2" s="58"/>
      <c r="G2" s="58"/>
      <c r="H2" s="58"/>
      <c r="I2" s="58"/>
      <c r="J2" s="58"/>
      <c r="K2" s="58"/>
      <c r="N2" s="31"/>
    </row>
    <row r="3" spans="1:14" ht="10.5">
      <c r="A3" s="26"/>
      <c r="B3" s="53" t="s">
        <v>156</v>
      </c>
      <c r="C3" s="53"/>
      <c r="D3" s="53"/>
      <c r="E3" s="53"/>
      <c r="F3" s="53"/>
      <c r="G3" s="53"/>
      <c r="H3" s="53"/>
      <c r="I3" s="53"/>
      <c r="J3" s="53"/>
      <c r="K3" s="53"/>
      <c r="N3" s="31"/>
    </row>
    <row r="4" spans="1:14" ht="10.5">
      <c r="A4" s="26"/>
      <c r="B4" s="53" t="s">
        <v>157</v>
      </c>
      <c r="C4" s="53"/>
      <c r="D4" s="53"/>
      <c r="E4" s="53"/>
      <c r="F4" s="53"/>
      <c r="G4" s="53"/>
      <c r="H4" s="53"/>
      <c r="I4" s="53"/>
      <c r="J4" s="53"/>
      <c r="K4" s="53"/>
      <c r="N4" s="31"/>
    </row>
    <row r="5" spans="1:14" ht="10.5">
      <c r="A5" s="51"/>
      <c r="B5" s="57"/>
      <c r="C5" s="57"/>
      <c r="D5" s="58"/>
      <c r="E5" s="57"/>
      <c r="F5" s="58"/>
      <c r="G5" s="58"/>
      <c r="H5" s="58"/>
      <c r="I5" s="58"/>
      <c r="J5" s="58"/>
      <c r="K5" s="58"/>
      <c r="N5" s="31"/>
    </row>
    <row r="6" spans="1:13" s="25" customFormat="1" ht="10.5">
      <c r="A6" s="6"/>
      <c r="B6" s="25" t="s">
        <v>220</v>
      </c>
      <c r="C6" s="25" t="s">
        <v>221</v>
      </c>
      <c r="D6" s="32" t="s">
        <v>222</v>
      </c>
      <c r="E6" s="25" t="s">
        <v>223</v>
      </c>
      <c r="F6" s="25" t="s">
        <v>224</v>
      </c>
      <c r="G6" s="25" t="s">
        <v>225</v>
      </c>
      <c r="H6" s="25" t="s">
        <v>226</v>
      </c>
      <c r="I6" s="25" t="s">
        <v>227</v>
      </c>
      <c r="J6" s="25" t="s">
        <v>228</v>
      </c>
      <c r="K6" s="25" t="s">
        <v>229</v>
      </c>
      <c r="L6" s="25" t="s">
        <v>230</v>
      </c>
      <c r="M6" s="25" t="s">
        <v>231</v>
      </c>
    </row>
    <row r="7" spans="1:14" ht="10.5">
      <c r="A7" s="24">
        <v>1</v>
      </c>
      <c r="B7" s="5" t="s">
        <v>69</v>
      </c>
      <c r="C7" s="28" t="s">
        <v>232</v>
      </c>
      <c r="D7" s="31">
        <v>0</v>
      </c>
      <c r="E7" s="31"/>
      <c r="F7" s="23">
        <f>ROUND(SUM('Текущие цены с учетом расхода'!B6:B11),2)</f>
        <v>1095273.11</v>
      </c>
      <c r="G7" s="23">
        <f>ROUND(SUM('Текущие цены с учетом расхода'!C6:C11),2)</f>
        <v>31110.55</v>
      </c>
      <c r="H7" s="23">
        <f>ROUND(SUM('Текущие цены с учетом расхода'!D6:D11),2)</f>
        <v>97185.88</v>
      </c>
      <c r="I7" s="23">
        <f>ROUND(SUM('Текущие цены с учетом расхода'!E6:E11),2)</f>
        <v>27227.28</v>
      </c>
      <c r="J7" s="27">
        <f>ROUND(SUM('Текущие цены с учетом расхода'!I6:I11),8)</f>
        <v>183.567436</v>
      </c>
      <c r="K7" s="27">
        <f>ROUND(SUM('Текущие цены с учетом расхода'!K6:K11),8)</f>
        <v>115.71791261</v>
      </c>
      <c r="L7" s="23">
        <f>ROUND(SUM('Текущие цены с учетом расхода'!F6:F11),2)</f>
        <v>966976.68</v>
      </c>
      <c r="N7" s="28" t="s">
        <v>216</v>
      </c>
    </row>
    <row r="8" spans="1:14" ht="10.5">
      <c r="A8" s="24">
        <v>2</v>
      </c>
      <c r="B8" s="5" t="s">
        <v>70</v>
      </c>
      <c r="C8" s="28" t="s">
        <v>233</v>
      </c>
      <c r="D8" s="31">
        <v>0</v>
      </c>
      <c r="F8" s="23">
        <f>ROUND(SUMIF(Определители!I6:I11,"= ",'Текущие цены с учетом расхода'!B6:B11),2)</f>
        <v>0</v>
      </c>
      <c r="G8" s="23">
        <f>ROUND(SUMIF(Определители!I6:I11,"= ",'Текущие цены с учетом расхода'!C6:C11),2)</f>
        <v>0</v>
      </c>
      <c r="H8" s="23">
        <f>ROUND(SUMIF(Определители!I6:I11,"= ",'Текущие цены с учетом расхода'!D6:D11),2)</f>
        <v>0</v>
      </c>
      <c r="I8" s="23">
        <f>ROUND(SUMIF(Определители!I6:I11,"= ",'Текущие цены с учетом расхода'!E6:E11),2)</f>
        <v>0</v>
      </c>
      <c r="J8" s="27">
        <f>ROUND(SUMIF(Определители!I6:I11,"= ",'Текущие цены с учетом расхода'!I6:I11),8)</f>
        <v>0</v>
      </c>
      <c r="K8" s="27">
        <f>ROUND(SUMIF(Определители!I6:I11,"= ",'Текущие цены с учетом расхода'!K6:K11),8)</f>
        <v>0</v>
      </c>
      <c r="L8" s="23">
        <f>ROUND(SUMIF(Определители!I6:I11,"= ",'Текущие цены с учетом расхода'!F6:F11),2)</f>
        <v>0</v>
      </c>
      <c r="N8" s="28" t="s">
        <v>219</v>
      </c>
    </row>
    <row r="9" spans="1:14" ht="10.5">
      <c r="A9" s="24">
        <v>3</v>
      </c>
      <c r="B9" s="5" t="s">
        <v>71</v>
      </c>
      <c r="C9" s="28" t="s">
        <v>233</v>
      </c>
      <c r="D9" s="31">
        <v>0</v>
      </c>
      <c r="F9" s="23">
        <f>ROUND(СУММПРОИЗВЕСЛИ(0.01,Определители!I6:I11," ",'Текущие цены с учетом расхода'!B6:B11,Начисления!X6:X11,0),2)</f>
        <v>0</v>
      </c>
      <c r="G9" s="23"/>
      <c r="H9" s="23"/>
      <c r="I9" s="23"/>
      <c r="J9" s="27"/>
      <c r="K9" s="27"/>
      <c r="L9" s="23"/>
      <c r="N9" s="28" t="s">
        <v>234</v>
      </c>
    </row>
    <row r="10" spans="1:14" ht="10.5">
      <c r="A10" s="24">
        <v>4</v>
      </c>
      <c r="B10" s="5" t="s">
        <v>72</v>
      </c>
      <c r="C10" s="28" t="s">
        <v>233</v>
      </c>
      <c r="D10" s="31">
        <v>0</v>
      </c>
      <c r="F10" s="23">
        <f>ROUND(СУММПРОИЗВЕСЛИ(0.01,Определители!I6:I11," ",'Текущие цены с учетом расхода'!B6:B11,Начисления!Y6:Y11,0),2)</f>
        <v>0</v>
      </c>
      <c r="G10" s="23"/>
      <c r="H10" s="23"/>
      <c r="I10" s="23"/>
      <c r="J10" s="27"/>
      <c r="K10" s="27"/>
      <c r="L10" s="23"/>
      <c r="N10" s="28" t="s">
        <v>235</v>
      </c>
    </row>
    <row r="11" spans="1:14" ht="10.5">
      <c r="A11" s="24">
        <v>5</v>
      </c>
      <c r="B11" s="5" t="s">
        <v>73</v>
      </c>
      <c r="C11" s="28" t="s">
        <v>233</v>
      </c>
      <c r="D11" s="31">
        <v>0</v>
      </c>
      <c r="F11" s="23">
        <f>ROUND(ТРАНСПРАСХОД(Определители!B6:B11,Определители!H6:H11,Определители!I6:I11,'Текущие цены с учетом расхода'!B6:B11,Начисления!Z6:Z11,Начисления!AA6:AA11),2)</f>
        <v>0</v>
      </c>
      <c r="G11" s="23"/>
      <c r="H11" s="23"/>
      <c r="I11" s="23"/>
      <c r="J11" s="27"/>
      <c r="K11" s="27"/>
      <c r="L11" s="23"/>
      <c r="N11" s="28" t="s">
        <v>236</v>
      </c>
    </row>
    <row r="12" spans="1:14" ht="10.5">
      <c r="A12" s="24">
        <v>6</v>
      </c>
      <c r="B12" s="5" t="s">
        <v>74</v>
      </c>
      <c r="C12" s="28" t="s">
        <v>233</v>
      </c>
      <c r="D12" s="31">
        <v>0</v>
      </c>
      <c r="F12" s="23">
        <f>ROUND(СУММПРОИЗВЕСЛИ(0.01,Определители!I6:I11," ",'Текущие цены с учетом расхода'!B6:B11,Начисления!AC6:AC11,0),2)</f>
        <v>0</v>
      </c>
      <c r="G12" s="23"/>
      <c r="H12" s="23"/>
      <c r="I12" s="23"/>
      <c r="J12" s="27"/>
      <c r="K12" s="27"/>
      <c r="L12" s="23"/>
      <c r="N12" s="28" t="s">
        <v>237</v>
      </c>
    </row>
    <row r="13" spans="1:14" ht="10.5">
      <c r="A13" s="24">
        <v>7</v>
      </c>
      <c r="B13" s="5" t="s">
        <v>75</v>
      </c>
      <c r="C13" s="28" t="s">
        <v>233</v>
      </c>
      <c r="D13" s="31">
        <v>0</v>
      </c>
      <c r="F13" s="23">
        <f>ROUND(СУММПРОИЗВЕСЛИ(0.01,Определители!I6:I11," ",'Текущие цены с учетом расхода'!B6:B11,Начисления!AF6:AF11,0),2)</f>
        <v>0</v>
      </c>
      <c r="G13" s="23"/>
      <c r="H13" s="23"/>
      <c r="I13" s="23"/>
      <c r="J13" s="27"/>
      <c r="K13" s="27"/>
      <c r="L13" s="23"/>
      <c r="N13" s="28" t="s">
        <v>238</v>
      </c>
    </row>
    <row r="14" spans="1:14" ht="10.5">
      <c r="A14" s="24">
        <v>8</v>
      </c>
      <c r="B14" s="5" t="s">
        <v>76</v>
      </c>
      <c r="C14" s="28" t="s">
        <v>233</v>
      </c>
      <c r="D14" s="31">
        <v>0</v>
      </c>
      <c r="F14" s="23">
        <f>ROUND(ЗАГОТСКЛАДРАСХОД(Определители!B6:B11,Определители!H6:H11,Определители!I6:I11,'Текущие цены с учетом расхода'!B6:B11,Начисления!X6:X11,Начисления!Y6:Y11,Начисления!Z6:Z11,Начисления!AA6:AA11,Начисления!AB6:AB11,Начисления!AC6:AC11,Начисления!AF6:AF11),2)</f>
        <v>0</v>
      </c>
      <c r="G14" s="23"/>
      <c r="H14" s="23"/>
      <c r="I14" s="23"/>
      <c r="J14" s="27"/>
      <c r="K14" s="27"/>
      <c r="L14" s="23"/>
      <c r="N14" s="28" t="s">
        <v>239</v>
      </c>
    </row>
    <row r="15" spans="1:14" ht="10.5">
      <c r="A15" s="24">
        <v>9</v>
      </c>
      <c r="B15" s="5" t="s">
        <v>77</v>
      </c>
      <c r="C15" s="28" t="s">
        <v>233</v>
      </c>
      <c r="D15" s="31">
        <v>0</v>
      </c>
      <c r="F15" s="23">
        <f>ROUND(СУММПРОИЗВЕСЛИ(1,Определители!I6:I11," ",'Текущие цены с учетом расхода'!M6:M11,Начисления!I6:I11,0),2)</f>
        <v>0</v>
      </c>
      <c r="G15" s="23"/>
      <c r="H15" s="23"/>
      <c r="I15" s="23"/>
      <c r="J15" s="27"/>
      <c r="K15" s="27"/>
      <c r="L15" s="23"/>
      <c r="N15" s="28" t="s">
        <v>240</v>
      </c>
    </row>
    <row r="16" spans="1:14" ht="10.5">
      <c r="A16" s="24">
        <v>10</v>
      </c>
      <c r="B16" s="5" t="s">
        <v>78</v>
      </c>
      <c r="C16" s="28" t="s">
        <v>241</v>
      </c>
      <c r="D16" s="31">
        <v>0</v>
      </c>
      <c r="F16" s="23">
        <f>ROUND((F15+F26+F46),2)</f>
        <v>0</v>
      </c>
      <c r="G16" s="23"/>
      <c r="H16" s="23"/>
      <c r="I16" s="23"/>
      <c r="J16" s="27"/>
      <c r="K16" s="27"/>
      <c r="L16" s="23"/>
      <c r="N16" s="28" t="s">
        <v>242</v>
      </c>
    </row>
    <row r="17" spans="1:14" ht="10.5">
      <c r="A17" s="24">
        <v>11</v>
      </c>
      <c r="B17" s="5" t="s">
        <v>79</v>
      </c>
      <c r="C17" s="28" t="s">
        <v>241</v>
      </c>
      <c r="D17" s="31">
        <v>0</v>
      </c>
      <c r="F17" s="23">
        <f>ROUND((F8+F9+F10+F11+F12+F13+F14+F16),2)</f>
        <v>0</v>
      </c>
      <c r="G17" s="23"/>
      <c r="H17" s="23"/>
      <c r="I17" s="23"/>
      <c r="J17" s="27"/>
      <c r="K17" s="27"/>
      <c r="L17" s="23"/>
      <c r="N17" s="28" t="s">
        <v>243</v>
      </c>
    </row>
    <row r="18" spans="1:14" ht="10.5">
      <c r="A18" s="24">
        <v>12</v>
      </c>
      <c r="B18" s="5" t="s">
        <v>80</v>
      </c>
      <c r="C18" s="28" t="s">
        <v>233</v>
      </c>
      <c r="D18" s="31">
        <v>0</v>
      </c>
      <c r="F18" s="23">
        <f>ROUND(SUMIF(Определители!I6:I11,"=1",'Текущие цены с учетом расхода'!B6:B11),2)</f>
        <v>0</v>
      </c>
      <c r="G18" s="23">
        <f>ROUND(SUMIF(Определители!I6:I11,"=1",'Текущие цены с учетом расхода'!C6:C11),2)</f>
        <v>0</v>
      </c>
      <c r="H18" s="23">
        <f>ROUND(SUMIF(Определители!I6:I11,"=1",'Текущие цены с учетом расхода'!D6:D11),2)</f>
        <v>0</v>
      </c>
      <c r="I18" s="23">
        <f>ROUND(SUMIF(Определители!I6:I11,"=1",'Текущие цены с учетом расхода'!E6:E11),2)</f>
        <v>0</v>
      </c>
      <c r="J18" s="27">
        <f>ROUND(SUMIF(Определители!I6:I11,"=1",'Текущие цены с учетом расхода'!I6:I11),8)</f>
        <v>0</v>
      </c>
      <c r="K18" s="27">
        <f>ROUND(SUMIF(Определители!I6:I11,"=1",'Текущие цены с учетом расхода'!K6:K11),8)</f>
        <v>0</v>
      </c>
      <c r="L18" s="23">
        <f>ROUND(SUMIF(Определители!I6:I11,"=1",'Текущие цены с учетом расхода'!F6:F11),2)</f>
        <v>0</v>
      </c>
      <c r="N18" s="28" t="s">
        <v>244</v>
      </c>
    </row>
    <row r="19" spans="1:14" ht="10.5">
      <c r="A19" s="24">
        <v>13</v>
      </c>
      <c r="B19" s="5" t="s">
        <v>81</v>
      </c>
      <c r="C19" s="28" t="s">
        <v>233</v>
      </c>
      <c r="D19" s="31">
        <v>0</v>
      </c>
      <c r="F19" s="23"/>
      <c r="G19" s="23"/>
      <c r="H19" s="23"/>
      <c r="I19" s="23"/>
      <c r="J19" s="27"/>
      <c r="K19" s="27"/>
      <c r="L19" s="23"/>
      <c r="N19" s="28" t="s">
        <v>245</v>
      </c>
    </row>
    <row r="20" spans="1:14" ht="10.5">
      <c r="A20" s="24">
        <v>14</v>
      </c>
      <c r="B20" s="5" t="s">
        <v>82</v>
      </c>
      <c r="C20" s="28" t="s">
        <v>233</v>
      </c>
      <c r="D20" s="31">
        <v>0</v>
      </c>
      <c r="F20" s="23"/>
      <c r="G20" s="23">
        <f>ROUND(SUMIF(Определители!I6:I11,"=1",'Текущие цены с учетом расхода'!U6:U11),2)</f>
        <v>0</v>
      </c>
      <c r="H20" s="23"/>
      <c r="I20" s="23"/>
      <c r="J20" s="27"/>
      <c r="K20" s="27"/>
      <c r="L20" s="23"/>
      <c r="N20" s="28" t="s">
        <v>246</v>
      </c>
    </row>
    <row r="21" spans="1:14" ht="10.5">
      <c r="A21" s="24">
        <v>15</v>
      </c>
      <c r="B21" s="5" t="s">
        <v>83</v>
      </c>
      <c r="C21" s="28" t="s">
        <v>233</v>
      </c>
      <c r="D21" s="31">
        <v>0</v>
      </c>
      <c r="F21" s="23">
        <f>ROUND(SUMIF(Определители!I6:I11,"=1",'Текущие цены с учетом расхода'!V6:V11),2)</f>
        <v>0</v>
      </c>
      <c r="G21" s="23"/>
      <c r="H21" s="23"/>
      <c r="I21" s="23"/>
      <c r="J21" s="27"/>
      <c r="K21" s="27"/>
      <c r="L21" s="23"/>
      <c r="N21" s="28" t="s">
        <v>247</v>
      </c>
    </row>
    <row r="22" spans="1:14" ht="10.5">
      <c r="A22" s="24">
        <v>16</v>
      </c>
      <c r="B22" s="5" t="s">
        <v>84</v>
      </c>
      <c r="C22" s="28" t="s">
        <v>233</v>
      </c>
      <c r="D22" s="31">
        <v>0</v>
      </c>
      <c r="F22" s="23">
        <f>ROUND(СУММЕСЛИ2(Определители!I6:I11,"1",Определители!G6:G11,"1",'Текущие цены с учетом расхода'!B6:B11),2)</f>
        <v>0</v>
      </c>
      <c r="G22" s="23"/>
      <c r="H22" s="23"/>
      <c r="I22" s="23"/>
      <c r="J22" s="27"/>
      <c r="K22" s="27"/>
      <c r="L22" s="23"/>
      <c r="N22" s="28" t="s">
        <v>248</v>
      </c>
    </row>
    <row r="23" spans="1:14" ht="10.5">
      <c r="A23" s="24">
        <v>17</v>
      </c>
      <c r="B23" s="5" t="s">
        <v>85</v>
      </c>
      <c r="C23" s="28" t="s">
        <v>233</v>
      </c>
      <c r="D23" s="31">
        <v>0</v>
      </c>
      <c r="F23" s="23">
        <f>ROUND(SUMIF(Определители!I6:I11,"=1",'Текущие цены с учетом расхода'!H6:H11),2)</f>
        <v>0</v>
      </c>
      <c r="G23" s="23"/>
      <c r="H23" s="23"/>
      <c r="I23" s="23"/>
      <c r="J23" s="27"/>
      <c r="K23" s="27"/>
      <c r="L23" s="23"/>
      <c r="N23" s="28" t="s">
        <v>249</v>
      </c>
    </row>
    <row r="24" spans="1:14" ht="10.5">
      <c r="A24" s="24">
        <v>18</v>
      </c>
      <c r="B24" s="5" t="s">
        <v>86</v>
      </c>
      <c r="C24" s="28" t="s">
        <v>233</v>
      </c>
      <c r="D24" s="31">
        <v>0</v>
      </c>
      <c r="F24" s="23">
        <f>ROUND(SUMIF(Определители!I6:I11,"=1",'Текущие цены с учетом расхода'!N6:N11),2)</f>
        <v>0</v>
      </c>
      <c r="G24" s="23"/>
      <c r="H24" s="23"/>
      <c r="I24" s="23"/>
      <c r="J24" s="27"/>
      <c r="K24" s="27"/>
      <c r="L24" s="23"/>
      <c r="N24" s="28" t="s">
        <v>250</v>
      </c>
    </row>
    <row r="25" spans="1:14" ht="10.5">
      <c r="A25" s="24">
        <v>19</v>
      </c>
      <c r="B25" s="5" t="s">
        <v>87</v>
      </c>
      <c r="C25" s="28" t="s">
        <v>233</v>
      </c>
      <c r="D25" s="31">
        <v>0</v>
      </c>
      <c r="F25" s="23">
        <f>ROUND(SUMIF(Определители!I6:I11,"=1",'Текущие цены с учетом расхода'!O6:O11),2)</f>
        <v>0</v>
      </c>
      <c r="G25" s="23"/>
      <c r="H25" s="23"/>
      <c r="I25" s="23"/>
      <c r="J25" s="27"/>
      <c r="K25" s="27"/>
      <c r="L25" s="23"/>
      <c r="N25" s="28" t="s">
        <v>251</v>
      </c>
    </row>
    <row r="26" spans="1:14" ht="10.5">
      <c r="A26" s="24">
        <v>20</v>
      </c>
      <c r="B26" s="5" t="s">
        <v>78</v>
      </c>
      <c r="C26" s="28" t="s">
        <v>233</v>
      </c>
      <c r="D26" s="31">
        <v>0</v>
      </c>
      <c r="F26" s="23">
        <f>ROUND(СУММПРОИЗВЕСЛИ(1,Определители!I6:I11," ",'Текущие цены с учетом расхода'!M6:M11,Начисления!I6:I11,0),2)</f>
        <v>0</v>
      </c>
      <c r="G26" s="23"/>
      <c r="H26" s="23"/>
      <c r="I26" s="23"/>
      <c r="J26" s="27"/>
      <c r="K26" s="27"/>
      <c r="L26" s="23"/>
      <c r="N26" s="28" t="s">
        <v>252</v>
      </c>
    </row>
    <row r="27" spans="1:14" ht="10.5">
      <c r="A27" s="24">
        <v>21</v>
      </c>
      <c r="B27" s="5" t="s">
        <v>88</v>
      </c>
      <c r="C27" s="28" t="s">
        <v>241</v>
      </c>
      <c r="D27" s="31">
        <v>0</v>
      </c>
      <c r="F27" s="23">
        <f>ROUND((F18+F24+F25),2)</f>
        <v>0</v>
      </c>
      <c r="G27" s="23"/>
      <c r="H27" s="23"/>
      <c r="I27" s="23"/>
      <c r="J27" s="27"/>
      <c r="K27" s="27"/>
      <c r="L27" s="23"/>
      <c r="N27" s="28" t="s">
        <v>253</v>
      </c>
    </row>
    <row r="28" spans="1:14" ht="10.5">
      <c r="A28" s="24">
        <v>22</v>
      </c>
      <c r="B28" s="5" t="s">
        <v>89</v>
      </c>
      <c r="C28" s="28" t="s">
        <v>233</v>
      </c>
      <c r="D28" s="31">
        <v>0</v>
      </c>
      <c r="F28" s="23">
        <f>ROUND(SUMIF(Определители!I6:I11,"=2",'Текущие цены с учетом расхода'!B6:B11),2)</f>
        <v>1095273.11</v>
      </c>
      <c r="G28" s="23">
        <f>ROUND(SUMIF(Определители!I6:I11,"=2",'Текущие цены с учетом расхода'!C6:C11),2)</f>
        <v>31110.55</v>
      </c>
      <c r="H28" s="23">
        <f>ROUND(SUMIF(Определители!I6:I11,"=2",'Текущие цены с учетом расхода'!D6:D11),2)</f>
        <v>97185.88</v>
      </c>
      <c r="I28" s="23">
        <f>ROUND(SUMIF(Определители!I6:I11,"=2",'Текущие цены с учетом расхода'!E6:E11),2)</f>
        <v>27227.28</v>
      </c>
      <c r="J28" s="27">
        <f>ROUND(SUMIF(Определители!I6:I11,"=2",'Текущие цены с учетом расхода'!I6:I11),8)</f>
        <v>183.567436</v>
      </c>
      <c r="K28" s="27">
        <f>ROUND(SUMIF(Определители!I6:I11,"=2",'Текущие цены с учетом расхода'!K6:K11),8)</f>
        <v>115.71791261</v>
      </c>
      <c r="L28" s="23">
        <f>ROUND(SUMIF(Определители!I6:I11,"=2",'Текущие цены с учетом расхода'!F6:F11),2)</f>
        <v>966976.68</v>
      </c>
      <c r="N28" s="28" t="s">
        <v>254</v>
      </c>
    </row>
    <row r="29" spans="1:14" ht="10.5">
      <c r="A29" s="24">
        <v>23</v>
      </c>
      <c r="B29" s="5" t="s">
        <v>81</v>
      </c>
      <c r="C29" s="28" t="s">
        <v>233</v>
      </c>
      <c r="D29" s="31">
        <v>0</v>
      </c>
      <c r="F29" s="23"/>
      <c r="G29" s="23"/>
      <c r="H29" s="23"/>
      <c r="I29" s="23"/>
      <c r="J29" s="27"/>
      <c r="K29" s="27"/>
      <c r="L29" s="23"/>
      <c r="N29" s="28" t="s">
        <v>255</v>
      </c>
    </row>
    <row r="30" spans="1:14" ht="10.5">
      <c r="A30" s="24">
        <v>24</v>
      </c>
      <c r="B30" s="5" t="s">
        <v>90</v>
      </c>
      <c r="C30" s="28" t="s">
        <v>233</v>
      </c>
      <c r="D30" s="31">
        <v>0</v>
      </c>
      <c r="F30" s="23">
        <f>ROUND(СУММЕСЛИ2(Определители!I6:I11,"2",Определители!G6:G11,"1",'Текущие цены с учетом расхода'!B6:B11),2)</f>
        <v>0</v>
      </c>
      <c r="G30" s="23"/>
      <c r="H30" s="23"/>
      <c r="I30" s="23"/>
      <c r="J30" s="27"/>
      <c r="K30" s="27"/>
      <c r="L30" s="23"/>
      <c r="N30" s="28" t="s">
        <v>256</v>
      </c>
    </row>
    <row r="31" spans="1:14" ht="10.5">
      <c r="A31" s="24">
        <v>25</v>
      </c>
      <c r="B31" s="5" t="s">
        <v>85</v>
      </c>
      <c r="C31" s="28" t="s">
        <v>233</v>
      </c>
      <c r="D31" s="31">
        <v>0</v>
      </c>
      <c r="F31" s="23">
        <f>ROUND(SUMIF(Определители!I6:I11,"=2",'Текущие цены с учетом расхода'!H6:H11),2)</f>
        <v>0</v>
      </c>
      <c r="G31" s="23"/>
      <c r="H31" s="23"/>
      <c r="I31" s="23"/>
      <c r="J31" s="27"/>
      <c r="K31" s="27"/>
      <c r="L31" s="23"/>
      <c r="N31" s="28" t="s">
        <v>257</v>
      </c>
    </row>
    <row r="32" spans="1:14" ht="10.5">
      <c r="A32" s="24">
        <v>26</v>
      </c>
      <c r="B32" s="5" t="s">
        <v>86</v>
      </c>
      <c r="C32" s="28" t="s">
        <v>233</v>
      </c>
      <c r="D32" s="31">
        <v>0</v>
      </c>
      <c r="F32" s="23">
        <f>ROUND(SUMIF(Определители!I6:I11,"=2",'Текущие цены с учетом расхода'!N6:N11),2)</f>
        <v>70588.77</v>
      </c>
      <c r="G32" s="23"/>
      <c r="H32" s="23"/>
      <c r="I32" s="23"/>
      <c r="J32" s="27"/>
      <c r="K32" s="27"/>
      <c r="L32" s="23"/>
      <c r="N32" s="28" t="s">
        <v>258</v>
      </c>
    </row>
    <row r="33" spans="1:14" ht="10.5">
      <c r="A33" s="24">
        <v>27</v>
      </c>
      <c r="B33" s="5" t="s">
        <v>87</v>
      </c>
      <c r="C33" s="28" t="s">
        <v>233</v>
      </c>
      <c r="D33" s="31">
        <v>0</v>
      </c>
      <c r="F33" s="23">
        <f>ROUND(SUMIF(Определители!I6:I11,"=2",'Текущие цены с учетом расхода'!O6:O11),2)</f>
        <v>37919.6</v>
      </c>
      <c r="G33" s="23"/>
      <c r="H33" s="23"/>
      <c r="I33" s="23"/>
      <c r="J33" s="27"/>
      <c r="K33" s="27"/>
      <c r="L33" s="23"/>
      <c r="N33" s="28" t="s">
        <v>259</v>
      </c>
    </row>
    <row r="34" spans="1:14" ht="10.5">
      <c r="A34" s="24">
        <v>28</v>
      </c>
      <c r="B34" s="5" t="s">
        <v>93</v>
      </c>
      <c r="C34" s="28" t="s">
        <v>241</v>
      </c>
      <c r="D34" s="31">
        <v>0</v>
      </c>
      <c r="F34" s="23">
        <f>ROUND((F28+F32+F33),2)</f>
        <v>1203781.48</v>
      </c>
      <c r="G34" s="23"/>
      <c r="H34" s="23"/>
      <c r="I34" s="23"/>
      <c r="J34" s="27"/>
      <c r="K34" s="27"/>
      <c r="L34" s="23"/>
      <c r="N34" s="28" t="s">
        <v>260</v>
      </c>
    </row>
    <row r="35" spans="1:14" ht="10.5">
      <c r="A35" s="24">
        <v>29</v>
      </c>
      <c r="B35" s="5" t="s">
        <v>94</v>
      </c>
      <c r="C35" s="28" t="s">
        <v>233</v>
      </c>
      <c r="D35" s="31">
        <v>0</v>
      </c>
      <c r="F35" s="23">
        <f>ROUND(SUMIF(Определители!I6:I11,"=3",'Текущие цены с учетом расхода'!B6:B11),2)</f>
        <v>0</v>
      </c>
      <c r="G35" s="23">
        <f>ROUND(SUMIF(Определители!I6:I11,"=3",'Текущие цены с учетом расхода'!C6:C11),2)</f>
        <v>0</v>
      </c>
      <c r="H35" s="23">
        <f>ROUND(SUMIF(Определители!I6:I11,"=3",'Текущие цены с учетом расхода'!D6:D11),2)</f>
        <v>0</v>
      </c>
      <c r="I35" s="23">
        <f>ROUND(SUMIF(Определители!I6:I11,"=3",'Текущие цены с учетом расхода'!E6:E11),2)</f>
        <v>0</v>
      </c>
      <c r="J35" s="27">
        <f>ROUND(SUMIF(Определители!I6:I11,"=3",'Текущие цены с учетом расхода'!I6:I11),8)</f>
        <v>0</v>
      </c>
      <c r="K35" s="27">
        <f>ROUND(SUMIF(Определители!I6:I11,"=3",'Текущие цены с учетом расхода'!K6:K11),8)</f>
        <v>0</v>
      </c>
      <c r="L35" s="23">
        <f>ROUND(SUMIF(Определители!I6:I11,"=3",'Текущие цены с учетом расхода'!F6:F11),2)</f>
        <v>0</v>
      </c>
      <c r="N35" s="28" t="s">
        <v>261</v>
      </c>
    </row>
    <row r="36" spans="1:14" ht="10.5">
      <c r="A36" s="24">
        <v>30</v>
      </c>
      <c r="B36" s="5" t="s">
        <v>85</v>
      </c>
      <c r="C36" s="28" t="s">
        <v>233</v>
      </c>
      <c r="D36" s="31">
        <v>0</v>
      </c>
      <c r="F36" s="23">
        <f>ROUND(SUMIF(Определители!I6:I11,"=3",'Текущие цены с учетом расхода'!H6:H11),2)</f>
        <v>0</v>
      </c>
      <c r="G36" s="23"/>
      <c r="H36" s="23"/>
      <c r="I36" s="23"/>
      <c r="J36" s="27"/>
      <c r="K36" s="27"/>
      <c r="L36" s="23"/>
      <c r="N36" s="28" t="s">
        <v>262</v>
      </c>
    </row>
    <row r="37" spans="1:14" ht="10.5">
      <c r="A37" s="24">
        <v>31</v>
      </c>
      <c r="B37" s="5" t="s">
        <v>86</v>
      </c>
      <c r="C37" s="28" t="s">
        <v>233</v>
      </c>
      <c r="D37" s="31">
        <v>0</v>
      </c>
      <c r="F37" s="23">
        <f>ROUND(SUMIF(Определители!I6:I11,"=3",'Текущие цены с учетом расхода'!N6:N11),2)</f>
        <v>0</v>
      </c>
      <c r="G37" s="23"/>
      <c r="H37" s="23"/>
      <c r="I37" s="23"/>
      <c r="J37" s="27"/>
      <c r="K37" s="27"/>
      <c r="L37" s="23"/>
      <c r="N37" s="28" t="s">
        <v>263</v>
      </c>
    </row>
    <row r="38" spans="1:14" ht="10.5">
      <c r="A38" s="24">
        <v>32</v>
      </c>
      <c r="B38" s="5" t="s">
        <v>87</v>
      </c>
      <c r="C38" s="28" t="s">
        <v>233</v>
      </c>
      <c r="D38" s="31">
        <v>0</v>
      </c>
      <c r="F38" s="23">
        <f>ROUND(SUMIF(Определители!I6:I11,"=3",'Текущие цены с учетом расхода'!O6:O11),2)</f>
        <v>0</v>
      </c>
      <c r="G38" s="23"/>
      <c r="H38" s="23"/>
      <c r="I38" s="23"/>
      <c r="J38" s="27"/>
      <c r="K38" s="27"/>
      <c r="L38" s="23"/>
      <c r="N38" s="28" t="s">
        <v>264</v>
      </c>
    </row>
    <row r="39" spans="1:14" ht="10.5">
      <c r="A39" s="24">
        <v>33</v>
      </c>
      <c r="B39" s="5" t="s">
        <v>95</v>
      </c>
      <c r="C39" s="28" t="s">
        <v>241</v>
      </c>
      <c r="D39" s="31">
        <v>0</v>
      </c>
      <c r="F39" s="23">
        <f>ROUND((F35+F37+F38),2)</f>
        <v>0</v>
      </c>
      <c r="G39" s="23"/>
      <c r="H39" s="23"/>
      <c r="I39" s="23"/>
      <c r="J39" s="27"/>
      <c r="K39" s="27"/>
      <c r="L39" s="23"/>
      <c r="N39" s="28" t="s">
        <v>265</v>
      </c>
    </row>
    <row r="40" spans="1:14" ht="10.5">
      <c r="A40" s="24">
        <v>34</v>
      </c>
      <c r="B40" s="5" t="s">
        <v>96</v>
      </c>
      <c r="C40" s="28" t="s">
        <v>233</v>
      </c>
      <c r="D40" s="31">
        <v>0</v>
      </c>
      <c r="F40" s="23">
        <f>ROUND(SUMIF(Определители!I6:I11,"=4",'Текущие цены с учетом расхода'!B6:B11),2)</f>
        <v>0</v>
      </c>
      <c r="G40" s="23">
        <f>ROUND(SUMIF(Определители!I6:I11,"=4",'Текущие цены с учетом расхода'!C6:C11),2)</f>
        <v>0</v>
      </c>
      <c r="H40" s="23">
        <f>ROUND(SUMIF(Определители!I6:I11,"=4",'Текущие цены с учетом расхода'!D6:D11),2)</f>
        <v>0</v>
      </c>
      <c r="I40" s="23">
        <f>ROUND(SUMIF(Определители!I6:I11,"=4",'Текущие цены с учетом расхода'!E6:E11),2)</f>
        <v>0</v>
      </c>
      <c r="J40" s="27">
        <f>ROUND(SUMIF(Определители!I6:I11,"=4",'Текущие цены с учетом расхода'!I6:I11),8)</f>
        <v>0</v>
      </c>
      <c r="K40" s="27">
        <f>ROUND(SUMIF(Определители!I6:I11,"=4",'Текущие цены с учетом расхода'!K6:K11),8)</f>
        <v>0</v>
      </c>
      <c r="L40" s="23">
        <f>ROUND(SUMIF(Определители!I6:I11,"=4",'Текущие цены с учетом расхода'!F6:F11),2)</f>
        <v>0</v>
      </c>
      <c r="N40" s="28" t="s">
        <v>266</v>
      </c>
    </row>
    <row r="41" spans="1:14" ht="10.5">
      <c r="A41" s="24">
        <v>35</v>
      </c>
      <c r="B41" s="5" t="s">
        <v>81</v>
      </c>
      <c r="C41" s="28" t="s">
        <v>233</v>
      </c>
      <c r="D41" s="31">
        <v>0</v>
      </c>
      <c r="F41" s="23"/>
      <c r="G41" s="23"/>
      <c r="H41" s="23"/>
      <c r="I41" s="23"/>
      <c r="J41" s="27"/>
      <c r="K41" s="27"/>
      <c r="L41" s="23"/>
      <c r="N41" s="28" t="s">
        <v>267</v>
      </c>
    </row>
    <row r="42" spans="1:14" ht="10.5">
      <c r="A42" s="24">
        <v>36</v>
      </c>
      <c r="B42" s="5" t="s">
        <v>97</v>
      </c>
      <c r="C42" s="28" t="s">
        <v>233</v>
      </c>
      <c r="D42" s="31">
        <v>0</v>
      </c>
      <c r="F42" s="23"/>
      <c r="G42" s="23"/>
      <c r="H42" s="23"/>
      <c r="I42" s="23"/>
      <c r="J42" s="27"/>
      <c r="K42" s="27"/>
      <c r="L42" s="23"/>
      <c r="N42" s="28" t="s">
        <v>268</v>
      </c>
    </row>
    <row r="43" spans="1:14" ht="10.5">
      <c r="A43" s="24">
        <v>37</v>
      </c>
      <c r="B43" s="5" t="s">
        <v>85</v>
      </c>
      <c r="C43" s="28" t="s">
        <v>233</v>
      </c>
      <c r="D43" s="31">
        <v>0</v>
      </c>
      <c r="F43" s="23">
        <f>ROUND(SUMIF(Определители!I6:I11,"=4",'Текущие цены с учетом расхода'!H6:H11),2)</f>
        <v>0</v>
      </c>
      <c r="G43" s="23"/>
      <c r="H43" s="23"/>
      <c r="I43" s="23"/>
      <c r="J43" s="27"/>
      <c r="K43" s="27"/>
      <c r="L43" s="23"/>
      <c r="N43" s="28" t="s">
        <v>269</v>
      </c>
    </row>
    <row r="44" spans="1:14" ht="10.5">
      <c r="A44" s="24">
        <v>38</v>
      </c>
      <c r="B44" s="5" t="s">
        <v>86</v>
      </c>
      <c r="C44" s="28" t="s">
        <v>233</v>
      </c>
      <c r="D44" s="31">
        <v>0</v>
      </c>
      <c r="F44" s="23">
        <f>ROUND(SUMIF(Определители!I6:I11,"=4",'Текущие цены с учетом расхода'!N6:N11),2)</f>
        <v>0</v>
      </c>
      <c r="G44" s="23"/>
      <c r="H44" s="23"/>
      <c r="I44" s="23"/>
      <c r="J44" s="27"/>
      <c r="K44" s="27"/>
      <c r="L44" s="23"/>
      <c r="N44" s="28" t="s">
        <v>270</v>
      </c>
    </row>
    <row r="45" spans="1:14" ht="10.5">
      <c r="A45" s="24">
        <v>39</v>
      </c>
      <c r="B45" s="5" t="s">
        <v>87</v>
      </c>
      <c r="C45" s="28" t="s">
        <v>233</v>
      </c>
      <c r="D45" s="31">
        <v>0</v>
      </c>
      <c r="F45" s="23">
        <f>ROUND(SUMIF(Определители!I6:I11,"=4",'Текущие цены с учетом расхода'!O6:O11),2)</f>
        <v>0</v>
      </c>
      <c r="G45" s="23"/>
      <c r="H45" s="23"/>
      <c r="I45" s="23"/>
      <c r="J45" s="27"/>
      <c r="K45" s="27"/>
      <c r="L45" s="23"/>
      <c r="N45" s="28" t="s">
        <v>271</v>
      </c>
    </row>
    <row r="46" spans="1:14" ht="10.5">
      <c r="A46" s="24">
        <v>40</v>
      </c>
      <c r="B46" s="5" t="s">
        <v>78</v>
      </c>
      <c r="C46" s="28" t="s">
        <v>233</v>
      </c>
      <c r="D46" s="31">
        <v>0</v>
      </c>
      <c r="F46" s="23">
        <f>ROUND(СУММПРОИЗВЕСЛИ(1,Определители!I6:I11," ",'Текущие цены с учетом расхода'!M6:M11,Начисления!I6:I11,0),2)</f>
        <v>0</v>
      </c>
      <c r="G46" s="23"/>
      <c r="H46" s="23"/>
      <c r="I46" s="23"/>
      <c r="J46" s="27"/>
      <c r="K46" s="27"/>
      <c r="L46" s="23"/>
      <c r="N46" s="28" t="s">
        <v>272</v>
      </c>
    </row>
    <row r="47" spans="1:14" ht="10.5">
      <c r="A47" s="24">
        <v>41</v>
      </c>
      <c r="B47" s="5" t="s">
        <v>98</v>
      </c>
      <c r="C47" s="28" t="s">
        <v>241</v>
      </c>
      <c r="D47" s="31">
        <v>0</v>
      </c>
      <c r="F47" s="23">
        <f>ROUND((F40+F44+F45),2)</f>
        <v>0</v>
      </c>
      <c r="G47" s="23"/>
      <c r="H47" s="23"/>
      <c r="I47" s="23"/>
      <c r="J47" s="27"/>
      <c r="K47" s="27"/>
      <c r="L47" s="23"/>
      <c r="N47" s="28" t="s">
        <v>273</v>
      </c>
    </row>
    <row r="48" spans="1:14" ht="10.5">
      <c r="A48" s="24">
        <v>42</v>
      </c>
      <c r="B48" s="5" t="s">
        <v>99</v>
      </c>
      <c r="C48" s="28" t="s">
        <v>233</v>
      </c>
      <c r="D48" s="31">
        <v>0</v>
      </c>
      <c r="F48" s="23">
        <f>ROUND(SUMIF(Определители!I6:I11,"=5",'Текущие цены с учетом расхода'!B6:B11),2)</f>
        <v>0</v>
      </c>
      <c r="G48" s="23">
        <f>ROUND(SUMIF(Определители!I6:I11,"=5",'Текущие цены с учетом расхода'!C6:C11),2)</f>
        <v>0</v>
      </c>
      <c r="H48" s="23">
        <f>ROUND(SUMIF(Определители!I6:I11,"=5",'Текущие цены с учетом расхода'!D6:D11),2)</f>
        <v>0</v>
      </c>
      <c r="I48" s="23">
        <f>ROUND(SUMIF(Определители!I6:I11,"=5",'Текущие цены с учетом расхода'!E6:E11),2)</f>
        <v>0</v>
      </c>
      <c r="J48" s="27">
        <f>ROUND(SUMIF(Определители!I6:I11,"=5",'Текущие цены с учетом расхода'!I6:I11),8)</f>
        <v>0</v>
      </c>
      <c r="K48" s="27">
        <f>ROUND(SUMIF(Определители!I6:I11,"=5",'Текущие цены с учетом расхода'!K6:K11),8)</f>
        <v>0</v>
      </c>
      <c r="L48" s="23">
        <f>ROUND(SUMIF(Определители!I6:I11,"=5",'Текущие цены с учетом расхода'!F6:F11),2)</f>
        <v>0</v>
      </c>
      <c r="N48" s="28" t="s">
        <v>274</v>
      </c>
    </row>
    <row r="49" spans="1:14" ht="10.5">
      <c r="A49" s="24">
        <v>43</v>
      </c>
      <c r="B49" s="5" t="s">
        <v>85</v>
      </c>
      <c r="C49" s="28" t="s">
        <v>233</v>
      </c>
      <c r="D49" s="31">
        <v>0</v>
      </c>
      <c r="F49" s="23">
        <f>ROUND(SUMIF(Определители!I6:I11,"=5",'Текущие цены с учетом расхода'!H6:H11),2)</f>
        <v>0</v>
      </c>
      <c r="G49" s="23"/>
      <c r="H49" s="23"/>
      <c r="I49" s="23"/>
      <c r="J49" s="27"/>
      <c r="K49" s="27"/>
      <c r="L49" s="23"/>
      <c r="N49" s="28" t="s">
        <v>275</v>
      </c>
    </row>
    <row r="50" spans="1:14" ht="10.5">
      <c r="A50" s="24">
        <v>44</v>
      </c>
      <c r="B50" s="5" t="s">
        <v>86</v>
      </c>
      <c r="C50" s="28" t="s">
        <v>233</v>
      </c>
      <c r="D50" s="31">
        <v>0</v>
      </c>
      <c r="F50" s="23">
        <f>ROUND(SUMIF(Определители!I6:I11,"=5",'Текущие цены с учетом расхода'!N6:N11),2)</f>
        <v>0</v>
      </c>
      <c r="G50" s="23"/>
      <c r="H50" s="23"/>
      <c r="I50" s="23"/>
      <c r="J50" s="27"/>
      <c r="K50" s="27"/>
      <c r="L50" s="23"/>
      <c r="N50" s="28" t="s">
        <v>276</v>
      </c>
    </row>
    <row r="51" spans="1:14" ht="10.5">
      <c r="A51" s="24">
        <v>45</v>
      </c>
      <c r="B51" s="5" t="s">
        <v>87</v>
      </c>
      <c r="C51" s="28" t="s">
        <v>233</v>
      </c>
      <c r="D51" s="31">
        <v>0</v>
      </c>
      <c r="F51" s="23">
        <f>ROUND(SUMIF(Определители!I6:I11,"=5",'Текущие цены с учетом расхода'!O6:O11),2)</f>
        <v>0</v>
      </c>
      <c r="G51" s="23"/>
      <c r="H51" s="23"/>
      <c r="I51" s="23"/>
      <c r="J51" s="27"/>
      <c r="K51" s="27"/>
      <c r="L51" s="23"/>
      <c r="N51" s="28" t="s">
        <v>277</v>
      </c>
    </row>
    <row r="52" spans="1:14" ht="10.5">
      <c r="A52" s="24">
        <v>46</v>
      </c>
      <c r="B52" s="5" t="s">
        <v>100</v>
      </c>
      <c r="C52" s="28" t="s">
        <v>241</v>
      </c>
      <c r="D52" s="31">
        <v>0</v>
      </c>
      <c r="F52" s="23">
        <f>ROUND((F48+F50+F51),2)</f>
        <v>0</v>
      </c>
      <c r="G52" s="23"/>
      <c r="H52" s="23"/>
      <c r="I52" s="23"/>
      <c r="J52" s="27"/>
      <c r="K52" s="27"/>
      <c r="L52" s="23"/>
      <c r="N52" s="28" t="s">
        <v>278</v>
      </c>
    </row>
    <row r="53" spans="1:14" ht="10.5">
      <c r="A53" s="24">
        <v>47</v>
      </c>
      <c r="B53" s="5" t="s">
        <v>101</v>
      </c>
      <c r="C53" s="28" t="s">
        <v>233</v>
      </c>
      <c r="D53" s="31">
        <v>0</v>
      </c>
      <c r="F53" s="23">
        <f>ROUND(SUMIF(Определители!I6:I11,"=6",'Текущие цены с учетом расхода'!B6:B11),2)</f>
        <v>0</v>
      </c>
      <c r="G53" s="23">
        <f>ROUND(SUMIF(Определители!I6:I11,"=6",'Текущие цены с учетом расхода'!C6:C11),2)</f>
        <v>0</v>
      </c>
      <c r="H53" s="23">
        <f>ROUND(SUMIF(Определители!I6:I11,"=6",'Текущие цены с учетом расхода'!D6:D11),2)</f>
        <v>0</v>
      </c>
      <c r="I53" s="23">
        <f>ROUND(SUMIF(Определители!I6:I11,"=6",'Текущие цены с учетом расхода'!E6:E11),2)</f>
        <v>0</v>
      </c>
      <c r="J53" s="27">
        <f>ROUND(SUMIF(Определители!I6:I11,"=6",'Текущие цены с учетом расхода'!I6:I11),8)</f>
        <v>0</v>
      </c>
      <c r="K53" s="27">
        <f>ROUND(SUMIF(Определители!I6:I11,"=6",'Текущие цены с учетом расхода'!K6:K11),8)</f>
        <v>0</v>
      </c>
      <c r="L53" s="23">
        <f>ROUND(SUMIF(Определители!I6:I11,"=6",'Текущие цены с учетом расхода'!F6:F11),2)</f>
        <v>0</v>
      </c>
      <c r="N53" s="28" t="s">
        <v>279</v>
      </c>
    </row>
    <row r="54" spans="1:14" ht="10.5">
      <c r="A54" s="24">
        <v>48</v>
      </c>
      <c r="B54" s="5" t="s">
        <v>85</v>
      </c>
      <c r="C54" s="28" t="s">
        <v>233</v>
      </c>
      <c r="D54" s="31">
        <v>0</v>
      </c>
      <c r="F54" s="23">
        <f>ROUND(SUMIF(Определители!I6:I11,"=6",'Текущие цены с учетом расхода'!H6:H11),2)</f>
        <v>0</v>
      </c>
      <c r="G54" s="23"/>
      <c r="H54" s="23"/>
      <c r="I54" s="23"/>
      <c r="J54" s="27"/>
      <c r="K54" s="27"/>
      <c r="L54" s="23"/>
      <c r="N54" s="28" t="s">
        <v>280</v>
      </c>
    </row>
    <row r="55" spans="1:14" ht="10.5">
      <c r="A55" s="24">
        <v>49</v>
      </c>
      <c r="B55" s="5" t="s">
        <v>86</v>
      </c>
      <c r="C55" s="28" t="s">
        <v>233</v>
      </c>
      <c r="D55" s="31">
        <v>0</v>
      </c>
      <c r="F55" s="23">
        <f>ROUND(SUMIF(Определители!I6:I11,"=6",'Текущие цены с учетом расхода'!N6:N11),2)</f>
        <v>0</v>
      </c>
      <c r="G55" s="23"/>
      <c r="H55" s="23"/>
      <c r="I55" s="23"/>
      <c r="J55" s="27"/>
      <c r="K55" s="27"/>
      <c r="L55" s="23"/>
      <c r="N55" s="28" t="s">
        <v>281</v>
      </c>
    </row>
    <row r="56" spans="1:14" ht="10.5">
      <c r="A56" s="24">
        <v>50</v>
      </c>
      <c r="B56" s="5" t="s">
        <v>87</v>
      </c>
      <c r="C56" s="28" t="s">
        <v>233</v>
      </c>
      <c r="D56" s="31">
        <v>0</v>
      </c>
      <c r="F56" s="23">
        <f>ROUND(SUMIF(Определители!I6:I11,"=6",'Текущие цены с учетом расхода'!O6:O11),2)</f>
        <v>0</v>
      </c>
      <c r="G56" s="23"/>
      <c r="H56" s="23"/>
      <c r="I56" s="23"/>
      <c r="J56" s="27"/>
      <c r="K56" s="27"/>
      <c r="L56" s="23"/>
      <c r="N56" s="28" t="s">
        <v>282</v>
      </c>
    </row>
    <row r="57" spans="1:14" ht="10.5">
      <c r="A57" s="24">
        <v>51</v>
      </c>
      <c r="B57" s="5" t="s">
        <v>102</v>
      </c>
      <c r="C57" s="28" t="s">
        <v>241</v>
      </c>
      <c r="D57" s="31">
        <v>0</v>
      </c>
      <c r="F57" s="23">
        <f>ROUND((F53+F55+F56),2)</f>
        <v>0</v>
      </c>
      <c r="G57" s="23"/>
      <c r="H57" s="23"/>
      <c r="I57" s="23"/>
      <c r="J57" s="27"/>
      <c r="K57" s="27"/>
      <c r="L57" s="23"/>
      <c r="N57" s="28" t="s">
        <v>283</v>
      </c>
    </row>
    <row r="58" spans="1:14" ht="10.5">
      <c r="A58" s="24">
        <v>52</v>
      </c>
      <c r="B58" s="5" t="s">
        <v>103</v>
      </c>
      <c r="C58" s="28" t="s">
        <v>233</v>
      </c>
      <c r="D58" s="31">
        <v>0</v>
      </c>
      <c r="F58" s="23">
        <f>ROUND(SUMIF(Определители!I6:I11,"=7",'Текущие цены с учетом расхода'!B6:B11),2)</f>
        <v>0</v>
      </c>
      <c r="G58" s="23">
        <f>ROUND(SUMIF(Определители!I6:I11,"=7",'Текущие цены с учетом расхода'!C6:C11),2)</f>
        <v>0</v>
      </c>
      <c r="H58" s="23">
        <f>ROUND(SUMIF(Определители!I6:I11,"=7",'Текущие цены с учетом расхода'!D6:D11),2)</f>
        <v>0</v>
      </c>
      <c r="I58" s="23">
        <f>ROUND(SUMIF(Определители!I6:I11,"=7",'Текущие цены с учетом расхода'!E6:E11),2)</f>
        <v>0</v>
      </c>
      <c r="J58" s="27">
        <f>ROUND(SUMIF(Определители!I6:I11,"=7",'Текущие цены с учетом расхода'!I6:I11),8)</f>
        <v>0</v>
      </c>
      <c r="K58" s="27">
        <f>ROUND(SUMIF(Определители!I6:I11,"=7",'Текущие цены с учетом расхода'!K6:K11),8)</f>
        <v>0</v>
      </c>
      <c r="L58" s="23">
        <f>ROUND(SUMIF(Определители!I6:I11,"=7",'Текущие цены с учетом расхода'!F6:F11),2)</f>
        <v>0</v>
      </c>
      <c r="N58" s="28" t="s">
        <v>284</v>
      </c>
    </row>
    <row r="59" spans="1:14" ht="10.5">
      <c r="A59" s="24">
        <v>53</v>
      </c>
      <c r="B59" s="5" t="s">
        <v>81</v>
      </c>
      <c r="C59" s="28" t="s">
        <v>233</v>
      </c>
      <c r="D59" s="31">
        <v>0</v>
      </c>
      <c r="F59" s="23"/>
      <c r="G59" s="23"/>
      <c r="H59" s="23"/>
      <c r="I59" s="23"/>
      <c r="J59" s="27"/>
      <c r="K59" s="27"/>
      <c r="L59" s="23"/>
      <c r="N59" s="28" t="s">
        <v>285</v>
      </c>
    </row>
    <row r="60" spans="1:14" ht="10.5">
      <c r="A60" s="24">
        <v>54</v>
      </c>
      <c r="B60" s="5" t="s">
        <v>104</v>
      </c>
      <c r="C60" s="28" t="s">
        <v>233</v>
      </c>
      <c r="D60" s="31">
        <v>0</v>
      </c>
      <c r="F60" s="23">
        <f>ROUND(СУММЕСЛИ2(Определители!I6:I11,"2",Определители!G6:G11,"1",'Текущие цены с учетом расхода'!B6:B11),2)</f>
        <v>0</v>
      </c>
      <c r="G60" s="23"/>
      <c r="H60" s="23"/>
      <c r="I60" s="23"/>
      <c r="J60" s="27"/>
      <c r="K60" s="27"/>
      <c r="L60" s="23"/>
      <c r="N60" s="28" t="s">
        <v>286</v>
      </c>
    </row>
    <row r="61" spans="1:14" ht="10.5">
      <c r="A61" s="24">
        <v>55</v>
      </c>
      <c r="B61" s="5" t="s">
        <v>85</v>
      </c>
      <c r="C61" s="28" t="s">
        <v>233</v>
      </c>
      <c r="D61" s="31">
        <v>0</v>
      </c>
      <c r="F61" s="23">
        <f>ROUND(SUMIF(Определители!I6:I11,"=7",'Текущие цены с учетом расхода'!H6:H11),2)</f>
        <v>0</v>
      </c>
      <c r="G61" s="23"/>
      <c r="H61" s="23"/>
      <c r="I61" s="23"/>
      <c r="J61" s="27"/>
      <c r="K61" s="27"/>
      <c r="L61" s="23"/>
      <c r="N61" s="28" t="s">
        <v>287</v>
      </c>
    </row>
    <row r="62" spans="1:14" ht="10.5">
      <c r="A62" s="24">
        <v>56</v>
      </c>
      <c r="B62" s="5" t="s">
        <v>105</v>
      </c>
      <c r="C62" s="28" t="s">
        <v>233</v>
      </c>
      <c r="D62" s="31">
        <v>0</v>
      </c>
      <c r="F62" s="23">
        <f>ROUND(SUMIF(Определители!I6:I11,"=7",'Текущие цены с учетом расхода'!N6:N11),2)</f>
        <v>0</v>
      </c>
      <c r="G62" s="23"/>
      <c r="H62" s="23"/>
      <c r="I62" s="23"/>
      <c r="J62" s="27"/>
      <c r="K62" s="27"/>
      <c r="L62" s="23"/>
      <c r="N62" s="28" t="s">
        <v>288</v>
      </c>
    </row>
    <row r="63" spans="1:14" ht="10.5">
      <c r="A63" s="24">
        <v>57</v>
      </c>
      <c r="B63" s="5" t="s">
        <v>87</v>
      </c>
      <c r="C63" s="28" t="s">
        <v>233</v>
      </c>
      <c r="D63" s="31">
        <v>0</v>
      </c>
      <c r="F63" s="23">
        <f>ROUND(SUMIF(Определители!I6:I11,"=7",'Текущие цены с учетом расхода'!O6:O11),2)</f>
        <v>0</v>
      </c>
      <c r="G63" s="23"/>
      <c r="H63" s="23"/>
      <c r="I63" s="23"/>
      <c r="J63" s="27"/>
      <c r="K63" s="27"/>
      <c r="L63" s="23"/>
      <c r="N63" s="28" t="s">
        <v>289</v>
      </c>
    </row>
    <row r="64" spans="1:14" ht="10.5">
      <c r="A64" s="24">
        <v>58</v>
      </c>
      <c r="B64" s="5" t="s">
        <v>106</v>
      </c>
      <c r="C64" s="28" t="s">
        <v>241</v>
      </c>
      <c r="D64" s="31">
        <v>0</v>
      </c>
      <c r="F64" s="23">
        <f>ROUND((F58+F62+F63),2)</f>
        <v>0</v>
      </c>
      <c r="G64" s="23"/>
      <c r="H64" s="23"/>
      <c r="I64" s="23"/>
      <c r="J64" s="27"/>
      <c r="K64" s="27"/>
      <c r="L64" s="23"/>
      <c r="N64" s="28" t="s">
        <v>290</v>
      </c>
    </row>
    <row r="65" spans="1:14" ht="10.5">
      <c r="A65" s="24">
        <v>59</v>
      </c>
      <c r="B65" s="5" t="s">
        <v>107</v>
      </c>
      <c r="C65" s="28" t="s">
        <v>233</v>
      </c>
      <c r="D65" s="31">
        <v>0</v>
      </c>
      <c r="F65" s="23">
        <f>ROUND(SUMIF(Определители!I6:I11,"=9",'Текущие цены с учетом расхода'!B6:B11),2)</f>
        <v>0</v>
      </c>
      <c r="G65" s="23">
        <f>ROUND(SUMIF(Определители!I6:I11,"=9",'Текущие цены с учетом расхода'!C6:C11),2)</f>
        <v>0</v>
      </c>
      <c r="H65" s="23">
        <f>ROUND(SUMIF(Определители!I6:I11,"=9",'Текущие цены с учетом расхода'!D6:D11),2)</f>
        <v>0</v>
      </c>
      <c r="I65" s="23">
        <f>ROUND(SUMIF(Определители!I6:I11,"=9",'Текущие цены с учетом расхода'!E6:E11),2)</f>
        <v>0</v>
      </c>
      <c r="J65" s="27">
        <f>ROUND(SUMIF(Определители!I6:I11,"=9",'Текущие цены с учетом расхода'!I6:I11),8)</f>
        <v>0</v>
      </c>
      <c r="K65" s="27">
        <f>ROUND(SUMIF(Определители!I6:I11,"=9",'Текущие цены с учетом расхода'!K6:K11),8)</f>
        <v>0</v>
      </c>
      <c r="L65" s="23">
        <f>ROUND(SUMIF(Определители!I6:I11,"=9",'Текущие цены с учетом расхода'!F6:F11),2)</f>
        <v>0</v>
      </c>
      <c r="N65" s="28" t="s">
        <v>291</v>
      </c>
    </row>
    <row r="66" spans="1:14" ht="10.5">
      <c r="A66" s="24">
        <v>60</v>
      </c>
      <c r="B66" s="5" t="s">
        <v>105</v>
      </c>
      <c r="C66" s="28" t="s">
        <v>233</v>
      </c>
      <c r="D66" s="31">
        <v>0</v>
      </c>
      <c r="F66" s="23">
        <f>ROUND(SUMIF(Определители!I6:I11,"=9",'Текущие цены с учетом расхода'!N6:N11),2)</f>
        <v>0</v>
      </c>
      <c r="G66" s="23"/>
      <c r="H66" s="23"/>
      <c r="I66" s="23"/>
      <c r="J66" s="27"/>
      <c r="K66" s="27"/>
      <c r="L66" s="23"/>
      <c r="N66" s="28" t="s">
        <v>292</v>
      </c>
    </row>
    <row r="67" spans="1:14" ht="10.5">
      <c r="A67" s="24">
        <v>61</v>
      </c>
      <c r="B67" s="5" t="s">
        <v>87</v>
      </c>
      <c r="C67" s="28" t="s">
        <v>233</v>
      </c>
      <c r="D67" s="31">
        <v>0</v>
      </c>
      <c r="F67" s="23">
        <f>ROUND(SUMIF(Определители!I6:I11,"=9",'Текущие цены с учетом расхода'!O6:O11),2)</f>
        <v>0</v>
      </c>
      <c r="G67" s="23"/>
      <c r="H67" s="23"/>
      <c r="I67" s="23"/>
      <c r="J67" s="27"/>
      <c r="K67" s="27"/>
      <c r="L67" s="23"/>
      <c r="N67" s="28" t="s">
        <v>293</v>
      </c>
    </row>
    <row r="68" spans="1:14" ht="10.5">
      <c r="A68" s="24">
        <v>62</v>
      </c>
      <c r="B68" s="5" t="s">
        <v>108</v>
      </c>
      <c r="C68" s="28" t="s">
        <v>241</v>
      </c>
      <c r="D68" s="31">
        <v>0</v>
      </c>
      <c r="F68" s="23">
        <f>ROUND((F65+F66+F67),2)</f>
        <v>0</v>
      </c>
      <c r="G68" s="23"/>
      <c r="H68" s="23"/>
      <c r="I68" s="23"/>
      <c r="J68" s="27"/>
      <c r="K68" s="27"/>
      <c r="L68" s="23"/>
      <c r="N68" s="28" t="s">
        <v>294</v>
      </c>
    </row>
    <row r="69" spans="1:14" ht="10.5">
      <c r="A69" s="24">
        <v>63</v>
      </c>
      <c r="B69" s="5" t="s">
        <v>109</v>
      </c>
      <c r="C69" s="28" t="s">
        <v>233</v>
      </c>
      <c r="D69" s="31">
        <v>0</v>
      </c>
      <c r="F69" s="23">
        <f>ROUND(SUMIF(Определители!I6:I11,"=:",'Текущие цены с учетом расхода'!B6:B11),2)</f>
        <v>0</v>
      </c>
      <c r="G69" s="23">
        <f>ROUND(SUMIF(Определители!I6:I11,"=:",'Текущие цены с учетом расхода'!C6:C11),2)</f>
        <v>0</v>
      </c>
      <c r="H69" s="23">
        <f>ROUND(SUMIF(Определители!I6:I11,"=:",'Текущие цены с учетом расхода'!D6:D11),2)</f>
        <v>0</v>
      </c>
      <c r="I69" s="23">
        <f>ROUND(SUMIF(Определители!I6:I11,"=:",'Текущие цены с учетом расхода'!E6:E11),2)</f>
        <v>0</v>
      </c>
      <c r="J69" s="27">
        <f>ROUND(SUMIF(Определители!I6:I11,"=:",'Текущие цены с учетом расхода'!I6:I11),8)</f>
        <v>0</v>
      </c>
      <c r="K69" s="27">
        <f>ROUND(SUMIF(Определители!I6:I11,"=:",'Текущие цены с учетом расхода'!K6:K11),8)</f>
        <v>0</v>
      </c>
      <c r="L69" s="23">
        <f>ROUND(SUMIF(Определители!I6:I11,"=:",'Текущие цены с учетом расхода'!F6:F11),2)</f>
        <v>0</v>
      </c>
      <c r="N69" s="28" t="s">
        <v>295</v>
      </c>
    </row>
    <row r="70" spans="1:14" ht="10.5">
      <c r="A70" s="24">
        <v>64</v>
      </c>
      <c r="B70" s="5" t="s">
        <v>85</v>
      </c>
      <c r="C70" s="28" t="s">
        <v>233</v>
      </c>
      <c r="D70" s="31">
        <v>0</v>
      </c>
      <c r="F70" s="23">
        <f>ROUND(SUMIF(Определители!I6:I11,"=:",'Текущие цены с учетом расхода'!H6:H11),2)</f>
        <v>0</v>
      </c>
      <c r="G70" s="23"/>
      <c r="H70" s="23"/>
      <c r="I70" s="23"/>
      <c r="J70" s="27"/>
      <c r="K70" s="27"/>
      <c r="L70" s="23"/>
      <c r="N70" s="28" t="s">
        <v>296</v>
      </c>
    </row>
    <row r="71" spans="1:14" ht="10.5">
      <c r="A71" s="24">
        <v>65</v>
      </c>
      <c r="B71" s="5" t="s">
        <v>105</v>
      </c>
      <c r="C71" s="28" t="s">
        <v>233</v>
      </c>
      <c r="D71" s="31">
        <v>0</v>
      </c>
      <c r="F71" s="23">
        <f>ROUND(SUMIF(Определители!I6:I11,"=:",'Текущие цены с учетом расхода'!N6:N11),2)</f>
        <v>0</v>
      </c>
      <c r="G71" s="23"/>
      <c r="H71" s="23"/>
      <c r="I71" s="23"/>
      <c r="J71" s="27"/>
      <c r="K71" s="27"/>
      <c r="L71" s="23"/>
      <c r="N71" s="28" t="s">
        <v>297</v>
      </c>
    </row>
    <row r="72" spans="1:14" ht="10.5">
      <c r="A72" s="24">
        <v>66</v>
      </c>
      <c r="B72" s="5" t="s">
        <v>87</v>
      </c>
      <c r="C72" s="28" t="s">
        <v>233</v>
      </c>
      <c r="D72" s="31">
        <v>0</v>
      </c>
      <c r="F72" s="23">
        <f>ROUND(SUMIF(Определители!I6:I11,"=:",'Текущие цены с учетом расхода'!O6:O11),2)</f>
        <v>0</v>
      </c>
      <c r="G72" s="23"/>
      <c r="H72" s="23"/>
      <c r="I72" s="23"/>
      <c r="J72" s="27"/>
      <c r="K72" s="27"/>
      <c r="L72" s="23"/>
      <c r="N72" s="28" t="s">
        <v>298</v>
      </c>
    </row>
    <row r="73" spans="1:14" ht="10.5">
      <c r="A73" s="24">
        <v>67</v>
      </c>
      <c r="B73" s="5" t="s">
        <v>110</v>
      </c>
      <c r="C73" s="28" t="s">
        <v>241</v>
      </c>
      <c r="D73" s="31">
        <v>0</v>
      </c>
      <c r="F73" s="23">
        <f>ROUND((F69+F71+F72),2)</f>
        <v>0</v>
      </c>
      <c r="G73" s="23"/>
      <c r="H73" s="23"/>
      <c r="I73" s="23"/>
      <c r="J73" s="27"/>
      <c r="K73" s="27"/>
      <c r="L73" s="23"/>
      <c r="N73" s="28" t="s">
        <v>299</v>
      </c>
    </row>
    <row r="74" spans="1:14" ht="10.5">
      <c r="A74" s="24">
        <v>68</v>
      </c>
      <c r="B74" s="5" t="s">
        <v>111</v>
      </c>
      <c r="C74" s="28" t="s">
        <v>233</v>
      </c>
      <c r="D74" s="31">
        <v>0</v>
      </c>
      <c r="F74" s="23">
        <f>ROUND(SUMIF(Определители!I6:I11,"=8",'Текущие цены с учетом расхода'!B6:B11),2)</f>
        <v>0</v>
      </c>
      <c r="G74" s="23">
        <f>ROUND(SUMIF(Определители!I6:I11,"=8",'Текущие цены с учетом расхода'!C6:C11),2)</f>
        <v>0</v>
      </c>
      <c r="H74" s="23">
        <f>ROUND(SUMIF(Определители!I6:I11,"=8",'Текущие цены с учетом расхода'!D6:D11),2)</f>
        <v>0</v>
      </c>
      <c r="I74" s="23">
        <f>ROUND(SUMIF(Определители!I6:I11,"=8",'Текущие цены с учетом расхода'!E6:E11),2)</f>
        <v>0</v>
      </c>
      <c r="J74" s="27">
        <f>ROUND(SUMIF(Определители!I6:I11,"=8",'Текущие цены с учетом расхода'!I6:I11),8)</f>
        <v>0</v>
      </c>
      <c r="K74" s="27">
        <f>ROUND(SUMIF(Определители!I6:I11,"=8",'Текущие цены с учетом расхода'!K6:K11),8)</f>
        <v>0</v>
      </c>
      <c r="L74" s="23">
        <f>ROUND(SUMIF(Определители!I6:I11,"=8",'Текущие цены с учетом расхода'!F6:F11),2)</f>
        <v>0</v>
      </c>
      <c r="N74" s="28" t="s">
        <v>300</v>
      </c>
    </row>
    <row r="75" spans="1:14" ht="10.5">
      <c r="A75" s="24">
        <v>69</v>
      </c>
      <c r="B75" s="5" t="s">
        <v>85</v>
      </c>
      <c r="C75" s="28" t="s">
        <v>233</v>
      </c>
      <c r="D75" s="31">
        <v>0</v>
      </c>
      <c r="F75" s="23">
        <f>ROUND(SUMIF(Определители!I6:I11,"=8",'Текущие цены с учетом расхода'!H6:H11),2)</f>
        <v>0</v>
      </c>
      <c r="G75" s="23"/>
      <c r="H75" s="23"/>
      <c r="I75" s="23"/>
      <c r="J75" s="27"/>
      <c r="K75" s="27"/>
      <c r="L75" s="23"/>
      <c r="N75" s="28" t="s">
        <v>301</v>
      </c>
    </row>
    <row r="76" spans="1:14" ht="10.5">
      <c r="A76" s="24">
        <v>70</v>
      </c>
      <c r="B76" s="5" t="s">
        <v>112</v>
      </c>
      <c r="C76" s="28" t="s">
        <v>241</v>
      </c>
      <c r="D76" s="31">
        <v>0</v>
      </c>
      <c r="F76" s="23">
        <f>ROUND((F17+F27+F34+F39+F47+F52+F57+F64+F68+F73+F74),2)</f>
        <v>1203781.48</v>
      </c>
      <c r="G76" s="23">
        <f>ROUND((G17+G27+G34+G39+G47+G52+G57+G64+G68+G73+G74),2)</f>
        <v>0</v>
      </c>
      <c r="H76" s="23">
        <f>ROUND((H17+H27+H34+H39+H47+H52+H57+H64+H68+H73+H74),2)</f>
        <v>0</v>
      </c>
      <c r="I76" s="23">
        <f>ROUND((I17+I27+I34+I39+I47+I52+I57+I64+I68+I73+I74),2)</f>
        <v>0</v>
      </c>
      <c r="J76" s="27">
        <f>ROUND((J17+J27+J34+J39+J47+J52+J57+J64+J68+J73+J74),8)</f>
        <v>0</v>
      </c>
      <c r="K76" s="27">
        <f>ROUND((K17+K27+K34+K39+K47+K52+K57+K64+K68+K73+K74),8)</f>
        <v>0</v>
      </c>
      <c r="L76" s="23">
        <f>ROUND((L17+L27+L34+L39+L47+L52+L57+L64+L68+L73+L74),2)</f>
        <v>0</v>
      </c>
      <c r="N76" s="28" t="s">
        <v>302</v>
      </c>
    </row>
    <row r="77" spans="1:14" ht="10.5">
      <c r="A77" s="24">
        <v>71</v>
      </c>
      <c r="B77" s="5" t="s">
        <v>113</v>
      </c>
      <c r="C77" s="28" t="s">
        <v>241</v>
      </c>
      <c r="D77" s="31">
        <v>0</v>
      </c>
      <c r="F77" s="23">
        <f>ROUND((F23+F31+F36+F43+F49+F54+F61+F70+F75),2)</f>
        <v>0</v>
      </c>
      <c r="G77" s="23"/>
      <c r="H77" s="23"/>
      <c r="I77" s="23"/>
      <c r="J77" s="27"/>
      <c r="K77" s="27"/>
      <c r="L77" s="23"/>
      <c r="N77" s="28" t="s">
        <v>303</v>
      </c>
    </row>
    <row r="78" spans="1:14" ht="10.5">
      <c r="A78" s="24">
        <v>72</v>
      </c>
      <c r="B78" s="5" t="s">
        <v>114</v>
      </c>
      <c r="C78" s="28" t="s">
        <v>241</v>
      </c>
      <c r="D78" s="31">
        <v>0</v>
      </c>
      <c r="F78" s="23">
        <f>ROUND((F24+F32+F37+F44+F50+F55+F62+F66+F71),2)</f>
        <v>70588.77</v>
      </c>
      <c r="G78" s="23"/>
      <c r="H78" s="23"/>
      <c r="I78" s="23"/>
      <c r="J78" s="27"/>
      <c r="K78" s="27"/>
      <c r="L78" s="23"/>
      <c r="N78" s="28" t="s">
        <v>304</v>
      </c>
    </row>
    <row r="79" spans="1:14" ht="10.5">
      <c r="A79" s="24">
        <v>73</v>
      </c>
      <c r="B79" s="5" t="s">
        <v>115</v>
      </c>
      <c r="C79" s="28" t="s">
        <v>241</v>
      </c>
      <c r="D79" s="31">
        <v>0</v>
      </c>
      <c r="F79" s="23">
        <f>ROUND((F25+F33+F38+F45+F51+F56+F63+F67+F72),2)</f>
        <v>37919.6</v>
      </c>
      <c r="G79" s="23"/>
      <c r="H79" s="23"/>
      <c r="I79" s="23"/>
      <c r="J79" s="27"/>
      <c r="K79" s="27"/>
      <c r="L79" s="23"/>
      <c r="N79" s="28" t="s">
        <v>305</v>
      </c>
    </row>
    <row r="80" spans="1:14" ht="10.5">
      <c r="A80" s="24">
        <v>74</v>
      </c>
      <c r="B80" s="5" t="s">
        <v>116</v>
      </c>
      <c r="C80" s="28" t="s">
        <v>306</v>
      </c>
      <c r="D80" s="31">
        <v>0</v>
      </c>
      <c r="F80" s="23">
        <f>ROUND(SUM('Текущие цены с учетом расхода'!X6:X11),2)</f>
        <v>0</v>
      </c>
      <c r="G80" s="23"/>
      <c r="H80" s="23"/>
      <c r="I80" s="23"/>
      <c r="J80" s="27"/>
      <c r="K80" s="27"/>
      <c r="L80" s="23">
        <f>ROUND(SUM('Текущие цены с учетом расхода'!X6:X11),2)</f>
        <v>0</v>
      </c>
      <c r="N80" s="28" t="s">
        <v>307</v>
      </c>
    </row>
    <row r="81" spans="1:14" ht="10.5">
      <c r="A81" s="24">
        <v>75</v>
      </c>
      <c r="B81" s="5" t="s">
        <v>117</v>
      </c>
      <c r="C81" s="28" t="s">
        <v>306</v>
      </c>
      <c r="D81" s="31">
        <v>0</v>
      </c>
      <c r="F81" s="23">
        <f>ROUND(SUM(G81:N81),2)</f>
        <v>0</v>
      </c>
      <c r="G81" s="23"/>
      <c r="H81" s="23"/>
      <c r="I81" s="23"/>
      <c r="J81" s="27"/>
      <c r="K81" s="27"/>
      <c r="L81" s="23">
        <f>ROUND(SUM('Текущие цены с учетом расхода'!AE6:AE11),2)</f>
        <v>0</v>
      </c>
      <c r="N81" s="28" t="s">
        <v>308</v>
      </c>
    </row>
    <row r="82" spans="1:14" ht="10.5">
      <c r="A82" s="24">
        <v>76</v>
      </c>
      <c r="B82" s="5" t="s">
        <v>118</v>
      </c>
      <c r="C82" s="28" t="s">
        <v>306</v>
      </c>
      <c r="D82" s="31">
        <v>0</v>
      </c>
      <c r="F82" s="23">
        <f>ROUND(SUM('Текущие цены с учетом расхода'!C6:C11),2)</f>
        <v>31110.55</v>
      </c>
      <c r="G82" s="23"/>
      <c r="H82" s="23"/>
      <c r="I82" s="23"/>
      <c r="J82" s="27"/>
      <c r="K82" s="27"/>
      <c r="L82" s="23"/>
      <c r="N82" s="28" t="s">
        <v>309</v>
      </c>
    </row>
    <row r="83" spans="1:14" ht="10.5">
      <c r="A83" s="24">
        <v>77</v>
      </c>
      <c r="B83" s="5" t="s">
        <v>119</v>
      </c>
      <c r="C83" s="28" t="s">
        <v>306</v>
      </c>
      <c r="D83" s="31">
        <v>0</v>
      </c>
      <c r="F83" s="23">
        <f>ROUND(SUM('Текущие цены с учетом расхода'!E6:E11),2)</f>
        <v>27227.28</v>
      </c>
      <c r="G83" s="23"/>
      <c r="H83" s="23"/>
      <c r="I83" s="23"/>
      <c r="J83" s="27"/>
      <c r="K83" s="27"/>
      <c r="L83" s="23"/>
      <c r="N83" s="28" t="s">
        <v>310</v>
      </c>
    </row>
    <row r="84" spans="1:14" ht="10.5">
      <c r="A84" s="24">
        <v>78</v>
      </c>
      <c r="B84" s="5" t="s">
        <v>120</v>
      </c>
      <c r="C84" s="28" t="s">
        <v>311</v>
      </c>
      <c r="D84" s="31">
        <v>0</v>
      </c>
      <c r="F84" s="23">
        <f>ROUND((F82+F83),2)</f>
        <v>58337.83</v>
      </c>
      <c r="G84" s="23"/>
      <c r="H84" s="23"/>
      <c r="I84" s="23"/>
      <c r="J84" s="27"/>
      <c r="K84" s="27"/>
      <c r="L84" s="23"/>
      <c r="N84" s="28" t="s">
        <v>312</v>
      </c>
    </row>
    <row r="85" spans="1:14" ht="10.5">
      <c r="A85" s="24">
        <v>79</v>
      </c>
      <c r="B85" s="5" t="s">
        <v>121</v>
      </c>
      <c r="C85" s="28" t="s">
        <v>306</v>
      </c>
      <c r="D85" s="31">
        <v>0</v>
      </c>
      <c r="F85" s="23"/>
      <c r="G85" s="23"/>
      <c r="H85" s="23"/>
      <c r="I85" s="23"/>
      <c r="J85" s="27">
        <f>ROUND(SUM('Текущие цены с учетом расхода'!I6:I11),8)</f>
        <v>183.567436</v>
      </c>
      <c r="K85" s="27"/>
      <c r="L85" s="23"/>
      <c r="N85" s="28" t="s">
        <v>313</v>
      </c>
    </row>
    <row r="86" spans="1:14" ht="10.5">
      <c r="A86" s="24">
        <v>80</v>
      </c>
      <c r="B86" s="5" t="s">
        <v>122</v>
      </c>
      <c r="C86" s="28" t="s">
        <v>306</v>
      </c>
      <c r="D86" s="31">
        <v>0</v>
      </c>
      <c r="F86" s="23"/>
      <c r="G86" s="23"/>
      <c r="H86" s="23"/>
      <c r="I86" s="23"/>
      <c r="J86" s="27">
        <f>ROUND(SUM('Текущие цены с учетом расхода'!K6:K11),8)</f>
        <v>115.71791261</v>
      </c>
      <c r="K86" s="27"/>
      <c r="L86" s="23"/>
      <c r="N86" s="28" t="s">
        <v>314</v>
      </c>
    </row>
    <row r="87" spans="1:14" ht="10.5">
      <c r="A87" s="24">
        <v>81</v>
      </c>
      <c r="B87" s="5" t="s">
        <v>123</v>
      </c>
      <c r="C87" s="28" t="s">
        <v>311</v>
      </c>
      <c r="D87" s="31">
        <v>0</v>
      </c>
      <c r="F87" s="23"/>
      <c r="G87" s="23"/>
      <c r="H87" s="23"/>
      <c r="I87" s="23"/>
      <c r="J87" s="27">
        <f>ROUND((J85+J86),8)</f>
        <v>299.28534861</v>
      </c>
      <c r="K87" s="27"/>
      <c r="L87" s="23"/>
      <c r="N87" s="28" t="s">
        <v>315</v>
      </c>
    </row>
  </sheetData>
  <sheetProtection/>
  <mergeCells count="4">
    <mergeCell ref="A2:K2"/>
    <mergeCell ref="B3:K3"/>
    <mergeCell ref="B4:K4"/>
    <mergeCell ref="A5:K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</cp:lastModifiedBy>
  <cp:lastPrinted>2012-05-22T09:14:30Z</cp:lastPrinted>
  <dcterms:created xsi:type="dcterms:W3CDTF">2012-05-22T09:19:08Z</dcterms:created>
  <dcterms:modified xsi:type="dcterms:W3CDTF">2012-05-22T09:19:26Z</dcterms:modified>
  <cp:category/>
  <cp:version/>
  <cp:contentType/>
  <cp:contentStatus/>
</cp:coreProperties>
</file>